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2.ปี 2567\01. รายงานแผนงาน-ผลงาน ปี 67\2.ข้อมูล Export จาก Google Sheet\2. 28 ธ.ค. 66\"/>
    </mc:Choice>
  </mc:AlternateContent>
  <xr:revisionPtr revIDLastSave="0" documentId="13_ncr:1_{0EFBDB20-FDCF-4549-A0C1-66BD1C7284AB}" xr6:coauthVersionLast="37" xr6:coauthVersionMax="37" xr10:uidLastSave="{00000000-0000-0000-0000-000000000000}"/>
  <bookViews>
    <workbookView xWindow="0" yWindow="0" windowWidth="24000" windowHeight="9525" firstSheet="11" activeTab="20" xr2:uid="{00000000-000D-0000-FFFF-FFFF00000000}"/>
  </bookViews>
  <sheets>
    <sheet name="รวมตะวันออกเฉียงเหนือ" sheetId="1" r:id="rId1"/>
    <sheet name="กาฬสินธุ์" sheetId="2" r:id="rId2"/>
    <sheet name="ขอนแก่น" sheetId="3" r:id="rId3"/>
    <sheet name="ชัยภูมิ" sheetId="4" r:id="rId4"/>
    <sheet name="นครพนม" sheetId="5" r:id="rId5"/>
    <sheet name="นครราชสีมา" sheetId="6" r:id="rId6"/>
    <sheet name="บึงกาฬ" sheetId="7" r:id="rId7"/>
    <sheet name="บุรีรัมย์" sheetId="8" r:id="rId8"/>
    <sheet name="มหาสารคาม" sheetId="9" r:id="rId9"/>
    <sheet name="มุกดาหาร" sheetId="10" r:id="rId10"/>
    <sheet name="ยโสธร" sheetId="11" r:id="rId11"/>
    <sheet name="ร้อยเอ็ด" sheetId="12" r:id="rId12"/>
    <sheet name="เลย" sheetId="13" r:id="rId13"/>
    <sheet name="ศรีสะเกษ" sheetId="14" r:id="rId14"/>
    <sheet name="สกลนคร" sheetId="15" r:id="rId15"/>
    <sheet name="สุรินทร์" sheetId="16" r:id="rId16"/>
    <sheet name="หนองคาย" sheetId="17" r:id="rId17"/>
    <sheet name="หนองบัวลำภู" sheetId="18" r:id="rId18"/>
    <sheet name="อำนาจเจริญ" sheetId="19" r:id="rId19"/>
    <sheet name="อุดรธานี" sheetId="20" r:id="rId20"/>
    <sheet name="อุบลราชธานี" sheetId="21" r:id="rId21"/>
  </sheets>
  <definedNames>
    <definedName name="_xlnm.Print_Titles" localSheetId="1">กาฬสินธุ์!$1:$6</definedName>
    <definedName name="_xlnm.Print_Titles" localSheetId="2">ขอนแก่น!$1:$6</definedName>
    <definedName name="_xlnm.Print_Titles" localSheetId="3">ชัยภูมิ!$1:$6</definedName>
    <definedName name="_xlnm.Print_Titles" localSheetId="4">นครพนม!$1:$6</definedName>
    <definedName name="_xlnm.Print_Titles" localSheetId="5">นครราชสีมา!$1:$6</definedName>
    <definedName name="_xlnm.Print_Titles" localSheetId="6">บึงกาฬ!$1:$6</definedName>
    <definedName name="_xlnm.Print_Titles" localSheetId="7">บุรีรัมย์!$1:$6</definedName>
    <definedName name="_xlnm.Print_Titles" localSheetId="8">มหาสารคาม!$1:$6</definedName>
    <definedName name="_xlnm.Print_Titles" localSheetId="9">มุกดาหาร!$1:$6</definedName>
    <definedName name="_xlnm.Print_Titles" localSheetId="10">ยโสธร!$1:$6</definedName>
    <definedName name="_xlnm.Print_Titles" localSheetId="0">รวมตะวันออกเฉียงเหนือ!$1:$6</definedName>
    <definedName name="_xlnm.Print_Titles" localSheetId="11">ร้อยเอ็ด!$1:$6</definedName>
    <definedName name="_xlnm.Print_Titles" localSheetId="12">เลย!$1:$6</definedName>
    <definedName name="_xlnm.Print_Titles" localSheetId="13">ศรีสะเกษ!$1:$6</definedName>
    <definedName name="_xlnm.Print_Titles" localSheetId="14">สกลนคร!$1:$6</definedName>
    <definedName name="_xlnm.Print_Titles" localSheetId="15">สุรินทร์!$1:$6</definedName>
    <definedName name="_xlnm.Print_Titles" localSheetId="16">หนองคาย!$1:$6</definedName>
    <definedName name="_xlnm.Print_Titles" localSheetId="17">หนองบัวลำภู!$1:$6</definedName>
    <definedName name="_xlnm.Print_Titles" localSheetId="18">อำนาจเจริญ!$1:$6</definedName>
    <definedName name="_xlnm.Print_Titles" localSheetId="19">อุดรธานี!$1:$6</definedName>
    <definedName name="_xlnm.Print_Titles" localSheetId="20">อุบลราชธานี!$1:$6</definedName>
  </definedNames>
  <calcPr calcId="179021"/>
</workbook>
</file>

<file path=xl/calcChain.xml><?xml version="1.0" encoding="utf-8"?>
<calcChain xmlns="http://schemas.openxmlformats.org/spreadsheetml/2006/main">
  <c r="A3" i="21" l="1"/>
  <c r="L22" i="21"/>
  <c r="L19" i="21" s="1"/>
  <c r="M22" i="21"/>
  <c r="N22" i="21"/>
  <c r="L25" i="21"/>
  <c r="M25" i="21"/>
  <c r="P25" i="21" s="1"/>
  <c r="N25" i="21"/>
  <c r="O25" i="21"/>
  <c r="L45" i="21"/>
  <c r="M45" i="21"/>
  <c r="P45" i="21" s="1"/>
  <c r="N45" i="21"/>
  <c r="O45" i="21"/>
  <c r="O48" i="21"/>
  <c r="P48" i="21"/>
  <c r="L49" i="21"/>
  <c r="L47" i="21" s="1"/>
  <c r="M49" i="21"/>
  <c r="M47" i="21" s="1"/>
  <c r="N49" i="21"/>
  <c r="O51" i="21"/>
  <c r="P51" i="21"/>
  <c r="L52" i="21"/>
  <c r="O52" i="21" s="1"/>
  <c r="M52" i="21"/>
  <c r="P52" i="21" s="1"/>
  <c r="N52" i="21"/>
  <c r="L60" i="21"/>
  <c r="O60" i="21" s="1"/>
  <c r="M60" i="21"/>
  <c r="P60" i="21" s="1"/>
  <c r="N60" i="21"/>
  <c r="O63" i="21"/>
  <c r="P63" i="21"/>
  <c r="L64" i="21"/>
  <c r="M64" i="21"/>
  <c r="M62" i="21" s="1"/>
  <c r="N64" i="21"/>
  <c r="N62" i="21" s="1"/>
  <c r="O66" i="21"/>
  <c r="P66" i="21"/>
  <c r="L67" i="21"/>
  <c r="O67" i="21" s="1"/>
  <c r="M67" i="21"/>
  <c r="M65" i="21" s="1"/>
  <c r="P65" i="21" s="1"/>
  <c r="N67" i="21"/>
  <c r="N65" i="21" s="1"/>
  <c r="L73" i="21"/>
  <c r="O73" i="21" s="1"/>
  <c r="M73" i="21"/>
  <c r="N73" i="21"/>
  <c r="O76" i="21"/>
  <c r="P76" i="21"/>
  <c r="L77" i="21"/>
  <c r="L75" i="21" s="1"/>
  <c r="O75" i="21" s="1"/>
  <c r="M77" i="21"/>
  <c r="M75" i="21" s="1"/>
  <c r="P75" i="21" s="1"/>
  <c r="N77" i="21"/>
  <c r="N75" i="21" s="1"/>
  <c r="O79" i="21"/>
  <c r="P79" i="21"/>
  <c r="L80" i="21"/>
  <c r="L78" i="21" s="1"/>
  <c r="O78" i="21" s="1"/>
  <c r="M80" i="21"/>
  <c r="M78" i="21" s="1"/>
  <c r="P78" i="21" s="1"/>
  <c r="N80" i="21"/>
  <c r="J82" i="21"/>
  <c r="J70" i="21" s="1"/>
  <c r="J83" i="21"/>
  <c r="J71" i="21" s="1"/>
  <c r="I84" i="21"/>
  <c r="I85" i="21"/>
  <c r="I86" i="21"/>
  <c r="K86" i="21" s="1"/>
  <c r="I87" i="21"/>
  <c r="K87" i="21" s="1"/>
  <c r="I88" i="21"/>
  <c r="K88" i="21" s="1"/>
  <c r="I89" i="21"/>
  <c r="K89" i="21" s="1"/>
  <c r="I90" i="21"/>
  <c r="K90" i="21" s="1"/>
  <c r="J92" i="21"/>
  <c r="J93" i="21"/>
  <c r="L95" i="21"/>
  <c r="M95" i="21"/>
  <c r="N95" i="21"/>
  <c r="O95" i="21"/>
  <c r="P95" i="21"/>
  <c r="O98" i="21"/>
  <c r="P98" i="21"/>
  <c r="L99" i="21"/>
  <c r="L97" i="21" s="1"/>
  <c r="O97" i="21" s="1"/>
  <c r="M99" i="21"/>
  <c r="P99" i="21" s="1"/>
  <c r="N99" i="21"/>
  <c r="N97" i="21" s="1"/>
  <c r="O101" i="21"/>
  <c r="P101" i="21"/>
  <c r="L102" i="21"/>
  <c r="L100" i="21" s="1"/>
  <c r="O100" i="21" s="1"/>
  <c r="M102" i="21"/>
  <c r="M100" i="21" s="1"/>
  <c r="P100" i="21" s="1"/>
  <c r="N102" i="21"/>
  <c r="N100" i="21" s="1"/>
  <c r="I108" i="21"/>
  <c r="K108" i="21" s="1"/>
  <c r="I109" i="21"/>
  <c r="K109" i="21" s="1"/>
  <c r="I117" i="21"/>
  <c r="K117" i="21" s="1"/>
  <c r="L126" i="21"/>
  <c r="O126" i="21" s="1"/>
  <c r="M126" i="21"/>
  <c r="N126" i="21"/>
  <c r="O129" i="21"/>
  <c r="P129" i="21"/>
  <c r="L130" i="21"/>
  <c r="O130" i="21" s="1"/>
  <c r="M130" i="21"/>
  <c r="P130" i="21" s="1"/>
  <c r="N130" i="21"/>
  <c r="N128" i="21" s="1"/>
  <c r="O132" i="21"/>
  <c r="P132" i="21"/>
  <c r="L133" i="21"/>
  <c r="O133" i="21" s="1"/>
  <c r="M133" i="21"/>
  <c r="P133" i="21" s="1"/>
  <c r="N133" i="21"/>
  <c r="N131" i="21" s="1"/>
  <c r="J136" i="21"/>
  <c r="J137" i="21"/>
  <c r="J138" i="21"/>
  <c r="L140" i="21"/>
  <c r="O140" i="21" s="1"/>
  <c r="M140" i="21"/>
  <c r="N140" i="21"/>
  <c r="O143" i="21"/>
  <c r="P143" i="21"/>
  <c r="L144" i="21"/>
  <c r="M144" i="21"/>
  <c r="M142" i="21" s="1"/>
  <c r="N144" i="21"/>
  <c r="N142" i="21" s="1"/>
  <c r="O146" i="21"/>
  <c r="P146" i="21"/>
  <c r="L147" i="21"/>
  <c r="L145" i="21" s="1"/>
  <c r="O145" i="21" s="1"/>
  <c r="M147" i="21"/>
  <c r="P147" i="21" s="1"/>
  <c r="N147" i="21"/>
  <c r="N145" i="21" s="1"/>
  <c r="I150" i="21"/>
  <c r="K150" i="21" s="1"/>
  <c r="I151" i="21"/>
  <c r="K151" i="21" s="1"/>
  <c r="I152" i="21"/>
  <c r="K152" i="21" s="1"/>
  <c r="I153" i="21"/>
  <c r="K153" i="21" s="1"/>
  <c r="I154" i="21"/>
  <c r="K154" i="21" s="1"/>
  <c r="J156" i="21"/>
  <c r="L158" i="21"/>
  <c r="M158" i="21"/>
  <c r="N158" i="21"/>
  <c r="P158" i="21"/>
  <c r="O161" i="21"/>
  <c r="P161" i="21"/>
  <c r="L162" i="21"/>
  <c r="M162" i="21"/>
  <c r="M160" i="21" s="1"/>
  <c r="P160" i="21" s="1"/>
  <c r="N162" i="21"/>
  <c r="N160" i="21" s="1"/>
  <c r="O164" i="21"/>
  <c r="P164" i="21"/>
  <c r="L165" i="21"/>
  <c r="L163" i="21" s="1"/>
  <c r="O163" i="21" s="1"/>
  <c r="M165" i="21"/>
  <c r="M163" i="21" s="1"/>
  <c r="P163" i="21" s="1"/>
  <c r="N165" i="21"/>
  <c r="I167" i="21"/>
  <c r="K167" i="21" s="1"/>
  <c r="I168" i="21"/>
  <c r="K168" i="21" s="1"/>
  <c r="I169" i="21"/>
  <c r="I156" i="21" s="1"/>
  <c r="K156" i="21" s="1"/>
  <c r="J172" i="21"/>
  <c r="L174" i="21"/>
  <c r="O174" i="21" s="1"/>
  <c r="M174" i="21"/>
  <c r="P174" i="21" s="1"/>
  <c r="N174" i="21"/>
  <c r="O177" i="21"/>
  <c r="P177" i="21"/>
  <c r="L178" i="21"/>
  <c r="M178" i="21"/>
  <c r="M176" i="21" s="1"/>
  <c r="N178" i="21"/>
  <c r="N176" i="21" s="1"/>
  <c r="O180" i="21"/>
  <c r="P180" i="21"/>
  <c r="L181" i="21"/>
  <c r="O181" i="21" s="1"/>
  <c r="M181" i="21"/>
  <c r="M179" i="21" s="1"/>
  <c r="P179" i="21" s="1"/>
  <c r="N181" i="21"/>
  <c r="N179" i="21" s="1"/>
  <c r="I183" i="21"/>
  <c r="K183" i="21" s="1"/>
  <c r="K184" i="21"/>
  <c r="L187" i="21"/>
  <c r="M187" i="21"/>
  <c r="P187" i="21" s="1"/>
  <c r="N187" i="21"/>
  <c r="O190" i="21"/>
  <c r="P190" i="21"/>
  <c r="L191" i="21"/>
  <c r="M191" i="21"/>
  <c r="M189" i="21" s="1"/>
  <c r="N191" i="21"/>
  <c r="O193" i="21"/>
  <c r="P193" i="21"/>
  <c r="L194" i="21"/>
  <c r="O194" i="21" s="1"/>
  <c r="M194" i="21"/>
  <c r="M192" i="21" s="1"/>
  <c r="P192" i="21" s="1"/>
  <c r="N194" i="21"/>
  <c r="J195" i="21"/>
  <c r="L196" i="21"/>
  <c r="O196" i="21" s="1"/>
  <c r="P196" i="21"/>
  <c r="I198" i="21"/>
  <c r="K198" i="21" s="1"/>
  <c r="J199" i="21"/>
  <c r="J202" i="21"/>
  <c r="N203" i="21"/>
  <c r="P203" i="21"/>
  <c r="L204" i="21"/>
  <c r="L205" i="21"/>
  <c r="L206" i="21"/>
  <c r="L207" i="21"/>
  <c r="I209" i="21"/>
  <c r="I202" i="21" s="1"/>
  <c r="K202" i="21" s="1"/>
  <c r="I211" i="21"/>
  <c r="K211" i="21" s="1"/>
  <c r="I212" i="21"/>
  <c r="K212" i="21" s="1"/>
  <c r="J213" i="21"/>
  <c r="N214" i="21"/>
  <c r="P214" i="21"/>
  <c r="L215" i="21"/>
  <c r="L216" i="21"/>
  <c r="L217" i="21"/>
  <c r="I219" i="21"/>
  <c r="K219" i="21" s="1"/>
  <c r="I220" i="21"/>
  <c r="K220" i="21" s="1"/>
  <c r="J221" i="21"/>
  <c r="N222" i="21"/>
  <c r="P222" i="21"/>
  <c r="L223" i="21"/>
  <c r="L224" i="21"/>
  <c r="L225" i="21"/>
  <c r="I228" i="21"/>
  <c r="K228" i="21" s="1"/>
  <c r="I229" i="21"/>
  <c r="I221" i="21" s="1"/>
  <c r="I230" i="21"/>
  <c r="K230" i="21" s="1"/>
  <c r="N232" i="21"/>
  <c r="N233" i="21"/>
  <c r="N234" i="21"/>
  <c r="N235" i="21"/>
  <c r="N236" i="21"/>
  <c r="J238" i="21"/>
  <c r="J240" i="21"/>
  <c r="J241" i="21"/>
  <c r="J242" i="21"/>
  <c r="N243" i="21"/>
  <c r="P243" i="21"/>
  <c r="L244" i="21"/>
  <c r="L245" i="21"/>
  <c r="L246" i="21"/>
  <c r="L247" i="21"/>
  <c r="I249" i="21"/>
  <c r="I251" i="21"/>
  <c r="I240" i="21" s="1"/>
  <c r="K240" i="21" s="1"/>
  <c r="I252" i="21"/>
  <c r="K252" i="21" s="1"/>
  <c r="J253" i="21"/>
  <c r="J231" i="21" s="1"/>
  <c r="J185" i="21" s="1"/>
  <c r="N254" i="21"/>
  <c r="P254" i="21"/>
  <c r="L255" i="21"/>
  <c r="L256" i="21"/>
  <c r="L257" i="21"/>
  <c r="L258" i="21"/>
  <c r="I260" i="21"/>
  <c r="I253" i="21" s="1"/>
  <c r="K253" i="21" s="1"/>
  <c r="K262" i="21"/>
  <c r="K263" i="21"/>
  <c r="I265" i="21"/>
  <c r="K265" i="21" s="1"/>
  <c r="J265" i="21"/>
  <c r="L267" i="21"/>
  <c r="O267" i="21" s="1"/>
  <c r="M267" i="21"/>
  <c r="P267" i="21" s="1"/>
  <c r="N267" i="21"/>
  <c r="O270" i="21"/>
  <c r="P270" i="21"/>
  <c r="L271" i="21"/>
  <c r="L269" i="21" s="1"/>
  <c r="O269" i="21" s="1"/>
  <c r="M271" i="21"/>
  <c r="M269" i="21" s="1"/>
  <c r="P269" i="21" s="1"/>
  <c r="N271" i="21"/>
  <c r="N269" i="21" s="1"/>
  <c r="O273" i="21"/>
  <c r="P273" i="21"/>
  <c r="L274" i="21"/>
  <c r="L272" i="21" s="1"/>
  <c r="O272" i="21" s="1"/>
  <c r="M274" i="21"/>
  <c r="P274" i="21" s="1"/>
  <c r="N274" i="21"/>
  <c r="N272" i="21" s="1"/>
  <c r="J281" i="21"/>
  <c r="L283" i="21"/>
  <c r="O283" i="21" s="1"/>
  <c r="M283" i="21"/>
  <c r="N283" i="21"/>
  <c r="O286" i="21"/>
  <c r="P286" i="21"/>
  <c r="L287" i="21"/>
  <c r="L285" i="21" s="1"/>
  <c r="O285" i="21" s="1"/>
  <c r="M287" i="21"/>
  <c r="M285" i="21" s="1"/>
  <c r="P285" i="21" s="1"/>
  <c r="N287" i="21"/>
  <c r="N285" i="21" s="1"/>
  <c r="O289" i="21"/>
  <c r="P289" i="21"/>
  <c r="L290" i="21"/>
  <c r="O290" i="21" s="1"/>
  <c r="M290" i="21"/>
  <c r="M288" i="21" s="1"/>
  <c r="P288" i="21" s="1"/>
  <c r="N290" i="21"/>
  <c r="N288" i="21" s="1"/>
  <c r="I292" i="21"/>
  <c r="I281" i="21" s="1"/>
  <c r="K281" i="21" s="1"/>
  <c r="I293" i="21"/>
  <c r="K293" i="21" s="1"/>
  <c r="J293" i="21"/>
  <c r="J280" i="21" s="1"/>
  <c r="I295" i="21"/>
  <c r="K295" i="21" s="1"/>
  <c r="I296" i="21"/>
  <c r="K296" i="21" s="1"/>
  <c r="J302" i="21"/>
  <c r="L304" i="21"/>
  <c r="O304" i="21" s="1"/>
  <c r="M304" i="21"/>
  <c r="N304" i="21"/>
  <c r="O307" i="21"/>
  <c r="P307" i="21"/>
  <c r="L308" i="21"/>
  <c r="L306" i="21" s="1"/>
  <c r="O306" i="21" s="1"/>
  <c r="M308" i="21"/>
  <c r="M306" i="21" s="1"/>
  <c r="P306" i="21" s="1"/>
  <c r="N308" i="21"/>
  <c r="N306" i="21" s="1"/>
  <c r="O310" i="21"/>
  <c r="P310" i="21"/>
  <c r="L311" i="21"/>
  <c r="L309" i="21" s="1"/>
  <c r="O309" i="21" s="1"/>
  <c r="M311" i="21"/>
  <c r="M309" i="21" s="1"/>
  <c r="P309" i="21" s="1"/>
  <c r="N311" i="21"/>
  <c r="N309" i="21" s="1"/>
  <c r="I314" i="21"/>
  <c r="I302" i="21" s="1"/>
  <c r="K302" i="21" s="1"/>
  <c r="I315" i="21"/>
  <c r="K315" i="21" s="1"/>
  <c r="I316" i="21"/>
  <c r="K316" i="21" s="1"/>
  <c r="I317" i="21"/>
  <c r="K317" i="21" s="1"/>
  <c r="J319" i="21"/>
  <c r="L321" i="21"/>
  <c r="M321" i="21"/>
  <c r="P321" i="21" s="1"/>
  <c r="N321" i="21"/>
  <c r="O321" i="21"/>
  <c r="O324" i="21"/>
  <c r="P324" i="21"/>
  <c r="L325" i="21"/>
  <c r="L323" i="21" s="1"/>
  <c r="O323" i="21" s="1"/>
  <c r="M325" i="21"/>
  <c r="M323" i="21" s="1"/>
  <c r="P323" i="21" s="1"/>
  <c r="N325" i="21"/>
  <c r="N323" i="21" s="1"/>
  <c r="O327" i="21"/>
  <c r="P327" i="21"/>
  <c r="L328" i="21"/>
  <c r="L326" i="21" s="1"/>
  <c r="O326" i="21" s="1"/>
  <c r="M328" i="21"/>
  <c r="M326" i="21" s="1"/>
  <c r="P326" i="21" s="1"/>
  <c r="N328" i="21"/>
  <c r="N326" i="21" s="1"/>
  <c r="I330" i="21"/>
  <c r="I319" i="21" s="1"/>
  <c r="K319" i="21" s="1"/>
  <c r="L334" i="21"/>
  <c r="O334" i="21" s="1"/>
  <c r="M334" i="21"/>
  <c r="N334" i="21"/>
  <c r="O337" i="21"/>
  <c r="P337" i="21"/>
  <c r="L338" i="21"/>
  <c r="M338" i="21"/>
  <c r="M336" i="21" s="1"/>
  <c r="N338" i="21"/>
  <c r="O340" i="21"/>
  <c r="P340" i="21"/>
  <c r="L341" i="21"/>
  <c r="O341" i="21" s="1"/>
  <c r="M341" i="21"/>
  <c r="M339" i="21" s="1"/>
  <c r="P339" i="21" s="1"/>
  <c r="N341" i="21"/>
  <c r="N339" i="21" s="1"/>
  <c r="I344" i="21"/>
  <c r="I332" i="21" s="1"/>
  <c r="J344" i="21"/>
  <c r="I346" i="21"/>
  <c r="J346" i="21"/>
  <c r="J347" i="21"/>
  <c r="J348" i="21"/>
  <c r="J349" i="21"/>
  <c r="D350" i="21"/>
  <c r="J352" i="21"/>
  <c r="J353" i="21"/>
  <c r="D354" i="21"/>
  <c r="L357" i="21"/>
  <c r="M357" i="21"/>
  <c r="N357" i="21"/>
  <c r="P357" i="21"/>
  <c r="O360" i="21"/>
  <c r="P360" i="21"/>
  <c r="L361" i="21"/>
  <c r="M361" i="21"/>
  <c r="M359" i="21" s="1"/>
  <c r="N361" i="21"/>
  <c r="N359" i="21" s="1"/>
  <c r="O363" i="21"/>
  <c r="P363" i="21"/>
  <c r="L364" i="21"/>
  <c r="L362" i="21" s="1"/>
  <c r="O362" i="21" s="1"/>
  <c r="M364" i="21"/>
  <c r="M362" i="21" s="1"/>
  <c r="P362" i="21" s="1"/>
  <c r="N364" i="21"/>
  <c r="J367" i="21"/>
  <c r="K367" i="21"/>
  <c r="I368" i="21"/>
  <c r="J368" i="21"/>
  <c r="I369" i="21"/>
  <c r="J369" i="21"/>
  <c r="J370" i="21"/>
  <c r="K370" i="21"/>
  <c r="I371" i="21"/>
  <c r="I365" i="21" s="1"/>
  <c r="J371" i="21"/>
  <c r="J365" i="21" s="1"/>
  <c r="J372" i="21"/>
  <c r="K372" i="21"/>
  <c r="D373" i="21"/>
  <c r="I376" i="21"/>
  <c r="K376" i="21" s="1"/>
  <c r="J376" i="21"/>
  <c r="L378" i="21"/>
  <c r="M378" i="21"/>
  <c r="N378" i="21"/>
  <c r="O378" i="21"/>
  <c r="P378" i="21"/>
  <c r="O381" i="21"/>
  <c r="P381" i="21"/>
  <c r="L382" i="21"/>
  <c r="L380" i="21" s="1"/>
  <c r="O380" i="21" s="1"/>
  <c r="M382" i="21"/>
  <c r="M380" i="21" s="1"/>
  <c r="P380" i="21" s="1"/>
  <c r="N382" i="21"/>
  <c r="N380" i="21" s="1"/>
  <c r="O384" i="21"/>
  <c r="P384" i="21"/>
  <c r="L385" i="21"/>
  <c r="L383" i="21" s="1"/>
  <c r="O383" i="21" s="1"/>
  <c r="M385" i="21"/>
  <c r="M383" i="21" s="1"/>
  <c r="P383" i="21" s="1"/>
  <c r="N385" i="21"/>
  <c r="N383" i="21" s="1"/>
  <c r="K387" i="21"/>
  <c r="K388" i="21"/>
  <c r="A391" i="21"/>
  <c r="A3" i="20"/>
  <c r="L22" i="20"/>
  <c r="O22" i="20" s="1"/>
  <c r="M22" i="20"/>
  <c r="N22" i="20"/>
  <c r="L25" i="20"/>
  <c r="M25" i="20"/>
  <c r="P25" i="20" s="1"/>
  <c r="N25" i="20"/>
  <c r="L45" i="20"/>
  <c r="O45" i="20" s="1"/>
  <c r="M45" i="20"/>
  <c r="N45" i="20"/>
  <c r="P45" i="20"/>
  <c r="O48" i="20"/>
  <c r="P48" i="20"/>
  <c r="L49" i="20"/>
  <c r="L47" i="20" s="1"/>
  <c r="M49" i="20"/>
  <c r="M47" i="20" s="1"/>
  <c r="N49" i="20"/>
  <c r="O51" i="20"/>
  <c r="P51" i="20"/>
  <c r="L52" i="20"/>
  <c r="L50" i="20" s="1"/>
  <c r="O50" i="20" s="1"/>
  <c r="M52" i="20"/>
  <c r="M50" i="20" s="1"/>
  <c r="P50" i="20" s="1"/>
  <c r="N52" i="20"/>
  <c r="N50" i="20" s="1"/>
  <c r="L60" i="20"/>
  <c r="M60" i="20"/>
  <c r="N60" i="20"/>
  <c r="O63" i="20"/>
  <c r="P63" i="20"/>
  <c r="L64" i="20"/>
  <c r="M64" i="20"/>
  <c r="N64" i="20"/>
  <c r="N62" i="20" s="1"/>
  <c r="O66" i="20"/>
  <c r="P66" i="20"/>
  <c r="L67" i="20"/>
  <c r="M67" i="20"/>
  <c r="M65" i="20" s="1"/>
  <c r="P65" i="20" s="1"/>
  <c r="N67" i="20"/>
  <c r="N65" i="20" s="1"/>
  <c r="L73" i="20"/>
  <c r="O73" i="20" s="1"/>
  <c r="M73" i="20"/>
  <c r="N73" i="20"/>
  <c r="P73" i="20"/>
  <c r="O76" i="20"/>
  <c r="P76" i="20"/>
  <c r="L77" i="20"/>
  <c r="L75" i="20" s="1"/>
  <c r="M77" i="20"/>
  <c r="M75" i="20" s="1"/>
  <c r="N77" i="20"/>
  <c r="N75" i="20" s="1"/>
  <c r="O79" i="20"/>
  <c r="P79" i="20"/>
  <c r="L80" i="20"/>
  <c r="L78" i="20" s="1"/>
  <c r="O78" i="20" s="1"/>
  <c r="M80" i="20"/>
  <c r="M78" i="20" s="1"/>
  <c r="P78" i="20" s="1"/>
  <c r="N80" i="20"/>
  <c r="N78" i="20" s="1"/>
  <c r="J82" i="20"/>
  <c r="J70" i="20" s="1"/>
  <c r="J83" i="20"/>
  <c r="J71" i="20" s="1"/>
  <c r="I84" i="20"/>
  <c r="I85" i="20"/>
  <c r="I86" i="20"/>
  <c r="K86" i="20" s="1"/>
  <c r="I87" i="20"/>
  <c r="K87" i="20" s="1"/>
  <c r="I88" i="20"/>
  <c r="K88" i="20" s="1"/>
  <c r="I89" i="20"/>
  <c r="K89" i="20" s="1"/>
  <c r="I90" i="20"/>
  <c r="K90" i="20" s="1"/>
  <c r="J92" i="20"/>
  <c r="J93" i="20"/>
  <c r="L95" i="20"/>
  <c r="M95" i="20"/>
  <c r="P95" i="20" s="1"/>
  <c r="N95" i="20"/>
  <c r="O95" i="20"/>
  <c r="O98" i="20"/>
  <c r="P98" i="20"/>
  <c r="L99" i="20"/>
  <c r="L97" i="20" s="1"/>
  <c r="O97" i="20" s="1"/>
  <c r="M99" i="20"/>
  <c r="M97" i="20" s="1"/>
  <c r="P97" i="20" s="1"/>
  <c r="N99" i="20"/>
  <c r="N97" i="20" s="1"/>
  <c r="O101" i="20"/>
  <c r="P101" i="20"/>
  <c r="L102" i="20"/>
  <c r="O102" i="20" s="1"/>
  <c r="M102" i="20"/>
  <c r="M100" i="20" s="1"/>
  <c r="P100" i="20" s="1"/>
  <c r="N102" i="20"/>
  <c r="N100" i="20" s="1"/>
  <c r="I108" i="20"/>
  <c r="I109" i="20"/>
  <c r="I93" i="20" s="1"/>
  <c r="K93" i="20" s="1"/>
  <c r="I117" i="20"/>
  <c r="K117" i="20" s="1"/>
  <c r="L126" i="20"/>
  <c r="O126" i="20" s="1"/>
  <c r="M126" i="20"/>
  <c r="N126" i="20"/>
  <c r="O129" i="20"/>
  <c r="P129" i="20"/>
  <c r="L130" i="20"/>
  <c r="L128" i="20" s="1"/>
  <c r="O128" i="20" s="1"/>
  <c r="M130" i="20"/>
  <c r="N130" i="20"/>
  <c r="O132" i="20"/>
  <c r="P132" i="20"/>
  <c r="L133" i="20"/>
  <c r="L131" i="20" s="1"/>
  <c r="O131" i="20" s="1"/>
  <c r="M133" i="20"/>
  <c r="N133" i="20"/>
  <c r="N131" i="20" s="1"/>
  <c r="J136" i="20"/>
  <c r="J137" i="20"/>
  <c r="J138" i="20"/>
  <c r="L140" i="20"/>
  <c r="O140" i="20" s="1"/>
  <c r="M140" i="20"/>
  <c r="N140" i="20"/>
  <c r="O143" i="20"/>
  <c r="P143" i="20"/>
  <c r="L144" i="20"/>
  <c r="L142" i="20" s="1"/>
  <c r="O142" i="20" s="1"/>
  <c r="M144" i="20"/>
  <c r="N144" i="20"/>
  <c r="O146" i="20"/>
  <c r="P146" i="20"/>
  <c r="L147" i="20"/>
  <c r="L145" i="20" s="1"/>
  <c r="O145" i="20" s="1"/>
  <c r="M147" i="20"/>
  <c r="N147" i="20"/>
  <c r="N145" i="20" s="1"/>
  <c r="I150" i="20"/>
  <c r="K150" i="20" s="1"/>
  <c r="I151" i="20"/>
  <c r="K151" i="20" s="1"/>
  <c r="I152" i="20"/>
  <c r="K152" i="20" s="1"/>
  <c r="I153" i="20"/>
  <c r="I138" i="20" s="1"/>
  <c r="K138" i="20" s="1"/>
  <c r="I154" i="20"/>
  <c r="I136" i="20" s="1"/>
  <c r="K136" i="20" s="1"/>
  <c r="J156" i="20"/>
  <c r="L158" i="20"/>
  <c r="O158" i="20" s="1"/>
  <c r="M158" i="20"/>
  <c r="N158" i="20"/>
  <c r="P158" i="20"/>
  <c r="O161" i="20"/>
  <c r="P161" i="20"/>
  <c r="L162" i="20"/>
  <c r="L160" i="20" s="1"/>
  <c r="M162" i="20"/>
  <c r="M160" i="20" s="1"/>
  <c r="P160" i="20" s="1"/>
  <c r="N162" i="20"/>
  <c r="O164" i="20"/>
  <c r="P164" i="20"/>
  <c r="L165" i="20"/>
  <c r="L163" i="20" s="1"/>
  <c r="O163" i="20" s="1"/>
  <c r="M165" i="20"/>
  <c r="M163" i="20" s="1"/>
  <c r="P163" i="20" s="1"/>
  <c r="N165" i="20"/>
  <c r="N163" i="20" s="1"/>
  <c r="I167" i="20"/>
  <c r="I156" i="20" s="1"/>
  <c r="K156" i="20" s="1"/>
  <c r="J172" i="20"/>
  <c r="L174" i="20"/>
  <c r="M174" i="20"/>
  <c r="P174" i="20" s="1"/>
  <c r="N174" i="20"/>
  <c r="O174" i="20"/>
  <c r="O177" i="20"/>
  <c r="P177" i="20"/>
  <c r="L178" i="20"/>
  <c r="L176" i="20" s="1"/>
  <c r="M178" i="20"/>
  <c r="M176" i="20" s="1"/>
  <c r="N178" i="20"/>
  <c r="N176" i="20" s="1"/>
  <c r="O180" i="20"/>
  <c r="P180" i="20"/>
  <c r="L181" i="20"/>
  <c r="L179" i="20" s="1"/>
  <c r="O179" i="20" s="1"/>
  <c r="M181" i="20"/>
  <c r="M179" i="20" s="1"/>
  <c r="P179" i="20" s="1"/>
  <c r="N181" i="20"/>
  <c r="N179" i="20" s="1"/>
  <c r="I183" i="20"/>
  <c r="I172" i="20" s="1"/>
  <c r="K184" i="20"/>
  <c r="L187" i="20"/>
  <c r="M187" i="20"/>
  <c r="N187" i="20"/>
  <c r="O190" i="20"/>
  <c r="P190" i="20"/>
  <c r="L191" i="20"/>
  <c r="M191" i="20"/>
  <c r="N191" i="20"/>
  <c r="N189" i="20" s="1"/>
  <c r="O193" i="20"/>
  <c r="P193" i="20"/>
  <c r="L194" i="20"/>
  <c r="M194" i="20"/>
  <c r="P194" i="20" s="1"/>
  <c r="N194" i="20"/>
  <c r="N192" i="20" s="1"/>
  <c r="J195" i="20"/>
  <c r="L196" i="20"/>
  <c r="O196" i="20" s="1"/>
  <c r="P196" i="20"/>
  <c r="I198" i="20"/>
  <c r="I195" i="20" s="1"/>
  <c r="K195" i="20" s="1"/>
  <c r="J199" i="20"/>
  <c r="J202" i="20"/>
  <c r="N203" i="20"/>
  <c r="P203" i="20"/>
  <c r="L204" i="20"/>
  <c r="L205" i="20"/>
  <c r="L206" i="20"/>
  <c r="L207" i="20"/>
  <c r="I209" i="20"/>
  <c r="I211" i="20"/>
  <c r="K211" i="20" s="1"/>
  <c r="I212" i="20"/>
  <c r="K212" i="20" s="1"/>
  <c r="J213" i="20"/>
  <c r="N214" i="20"/>
  <c r="P214" i="20"/>
  <c r="L215" i="20"/>
  <c r="L216" i="20"/>
  <c r="L217" i="20"/>
  <c r="I219" i="20"/>
  <c r="K219" i="20" s="1"/>
  <c r="I220" i="20"/>
  <c r="K220" i="20" s="1"/>
  <c r="J221" i="20"/>
  <c r="N222" i="20"/>
  <c r="P222" i="20"/>
  <c r="L223" i="20"/>
  <c r="L224" i="20"/>
  <c r="L225" i="20"/>
  <c r="I228" i="20"/>
  <c r="K228" i="20" s="1"/>
  <c r="I229" i="20"/>
  <c r="I221" i="20" s="1"/>
  <c r="I230" i="20"/>
  <c r="K230" i="20" s="1"/>
  <c r="N233" i="20"/>
  <c r="N234" i="20"/>
  <c r="N235" i="20"/>
  <c r="N236" i="20"/>
  <c r="J238" i="20"/>
  <c r="I240" i="20"/>
  <c r="K240" i="20" s="1"/>
  <c r="J240" i="20"/>
  <c r="I241" i="20"/>
  <c r="K241" i="20" s="1"/>
  <c r="J241" i="20"/>
  <c r="J242" i="20"/>
  <c r="N243" i="20"/>
  <c r="N232" i="20" s="1"/>
  <c r="P243" i="20"/>
  <c r="L244" i="20"/>
  <c r="L245" i="20"/>
  <c r="L246" i="20"/>
  <c r="L247" i="20"/>
  <c r="I249" i="20"/>
  <c r="I242" i="20" s="1"/>
  <c r="K251" i="20"/>
  <c r="K252" i="20"/>
  <c r="J253" i="20"/>
  <c r="N254" i="20"/>
  <c r="P254" i="20"/>
  <c r="L255" i="20"/>
  <c r="L256" i="20"/>
  <c r="L257" i="20"/>
  <c r="L258" i="20"/>
  <c r="I260" i="20"/>
  <c r="K262" i="20"/>
  <c r="K263" i="20"/>
  <c r="I265" i="20"/>
  <c r="J265" i="20"/>
  <c r="K265" i="20"/>
  <c r="L267" i="20"/>
  <c r="M267" i="20"/>
  <c r="N267" i="20"/>
  <c r="O270" i="20"/>
  <c r="P270" i="20"/>
  <c r="L271" i="20"/>
  <c r="M271" i="20"/>
  <c r="P271" i="20" s="1"/>
  <c r="N271" i="20"/>
  <c r="O273" i="20"/>
  <c r="P273" i="20"/>
  <c r="L274" i="20"/>
  <c r="M274" i="20"/>
  <c r="P274" i="20" s="1"/>
  <c r="N274" i="20"/>
  <c r="N272" i="20" s="1"/>
  <c r="J280" i="20"/>
  <c r="J281" i="20"/>
  <c r="L283" i="20"/>
  <c r="M283" i="20"/>
  <c r="P283" i="20" s="1"/>
  <c r="N283" i="20"/>
  <c r="O283" i="20"/>
  <c r="O286" i="20"/>
  <c r="P286" i="20"/>
  <c r="L287" i="20"/>
  <c r="L285" i="20" s="1"/>
  <c r="O285" i="20" s="1"/>
  <c r="M287" i="20"/>
  <c r="M285" i="20" s="1"/>
  <c r="P285" i="20" s="1"/>
  <c r="N287" i="20"/>
  <c r="O289" i="20"/>
  <c r="P289" i="20"/>
  <c r="L290" i="20"/>
  <c r="O290" i="20" s="1"/>
  <c r="M290" i="20"/>
  <c r="M288" i="20" s="1"/>
  <c r="P288" i="20" s="1"/>
  <c r="N290" i="20"/>
  <c r="N288" i="20" s="1"/>
  <c r="I292" i="20"/>
  <c r="I281" i="20" s="1"/>
  <c r="K281" i="20" s="1"/>
  <c r="I293" i="20"/>
  <c r="I280" i="20" s="1"/>
  <c r="K280" i="20" s="1"/>
  <c r="J293" i="20"/>
  <c r="I295" i="20"/>
  <c r="K295" i="20" s="1"/>
  <c r="I296" i="20"/>
  <c r="K296" i="20" s="1"/>
  <c r="J302" i="20"/>
  <c r="L304" i="20"/>
  <c r="M304" i="20"/>
  <c r="N304" i="20"/>
  <c r="O307" i="20"/>
  <c r="P307" i="20"/>
  <c r="L308" i="20"/>
  <c r="M308" i="20"/>
  <c r="M306" i="20" s="1"/>
  <c r="N308" i="20"/>
  <c r="N306" i="20" s="1"/>
  <c r="O310" i="20"/>
  <c r="P310" i="20"/>
  <c r="L311" i="20"/>
  <c r="M311" i="20"/>
  <c r="P311" i="20" s="1"/>
  <c r="N311" i="20"/>
  <c r="N309" i="20" s="1"/>
  <c r="I314" i="20"/>
  <c r="I302" i="20" s="1"/>
  <c r="K302" i="20" s="1"/>
  <c r="I315" i="20"/>
  <c r="K315" i="20" s="1"/>
  <c r="I316" i="20"/>
  <c r="K316" i="20" s="1"/>
  <c r="I317" i="20"/>
  <c r="K317" i="20" s="1"/>
  <c r="J319" i="20"/>
  <c r="L321" i="20"/>
  <c r="O321" i="20" s="1"/>
  <c r="M321" i="20"/>
  <c r="N321" i="20"/>
  <c r="P321" i="20"/>
  <c r="O324" i="20"/>
  <c r="P324" i="20"/>
  <c r="L325" i="20"/>
  <c r="L323" i="20" s="1"/>
  <c r="O323" i="20" s="1"/>
  <c r="M325" i="20"/>
  <c r="M323" i="20" s="1"/>
  <c r="P323" i="20" s="1"/>
  <c r="N325" i="20"/>
  <c r="N323" i="20" s="1"/>
  <c r="O327" i="20"/>
  <c r="P327" i="20"/>
  <c r="L328" i="20"/>
  <c r="O328" i="20" s="1"/>
  <c r="M328" i="20"/>
  <c r="M326" i="20" s="1"/>
  <c r="P326" i="20" s="1"/>
  <c r="N328" i="20"/>
  <c r="N326" i="20" s="1"/>
  <c r="I330" i="20"/>
  <c r="I319" i="20" s="1"/>
  <c r="K319" i="20" s="1"/>
  <c r="L334" i="20"/>
  <c r="O334" i="20" s="1"/>
  <c r="M334" i="20"/>
  <c r="N334" i="20"/>
  <c r="O337" i="20"/>
  <c r="P337" i="20"/>
  <c r="L338" i="20"/>
  <c r="M338" i="20"/>
  <c r="M336" i="20" s="1"/>
  <c r="N338" i="20"/>
  <c r="N336" i="20" s="1"/>
  <c r="O340" i="20"/>
  <c r="P340" i="20"/>
  <c r="L341" i="20"/>
  <c r="O341" i="20" s="1"/>
  <c r="M341" i="20"/>
  <c r="M339" i="20" s="1"/>
  <c r="P339" i="20" s="1"/>
  <c r="N341" i="20"/>
  <c r="N339" i="20" s="1"/>
  <c r="I344" i="20"/>
  <c r="I332" i="20" s="1"/>
  <c r="J344" i="20"/>
  <c r="I346" i="20"/>
  <c r="J346" i="20"/>
  <c r="J347" i="20"/>
  <c r="J348" i="20"/>
  <c r="J349" i="20"/>
  <c r="D350" i="20"/>
  <c r="J352" i="20"/>
  <c r="J353" i="20"/>
  <c r="D354" i="20"/>
  <c r="L357" i="20"/>
  <c r="M357" i="20"/>
  <c r="P357" i="20" s="1"/>
  <c r="N357" i="20"/>
  <c r="O357" i="20"/>
  <c r="O360" i="20"/>
  <c r="P360" i="20"/>
  <c r="L361" i="20"/>
  <c r="L359" i="20" s="1"/>
  <c r="M361" i="20"/>
  <c r="N361" i="20"/>
  <c r="N359" i="20" s="1"/>
  <c r="O363" i="20"/>
  <c r="P363" i="20"/>
  <c r="L364" i="20"/>
  <c r="L362" i="20" s="1"/>
  <c r="O362" i="20" s="1"/>
  <c r="M364" i="20"/>
  <c r="M362" i="20" s="1"/>
  <c r="P362" i="20" s="1"/>
  <c r="N364" i="20"/>
  <c r="N362" i="20" s="1"/>
  <c r="J367" i="20"/>
  <c r="K367" i="20"/>
  <c r="I368" i="20"/>
  <c r="J368" i="20"/>
  <c r="I369" i="20"/>
  <c r="J369" i="20"/>
  <c r="J370" i="20"/>
  <c r="K370" i="20"/>
  <c r="I371" i="20"/>
  <c r="I365" i="20" s="1"/>
  <c r="J371" i="20"/>
  <c r="J365" i="20" s="1"/>
  <c r="J372" i="20"/>
  <c r="K372" i="20"/>
  <c r="D373" i="20"/>
  <c r="I376" i="20"/>
  <c r="J376" i="20"/>
  <c r="K376" i="20"/>
  <c r="L378" i="20"/>
  <c r="M378" i="20"/>
  <c r="P378" i="20" s="1"/>
  <c r="N378" i="20"/>
  <c r="O378" i="20"/>
  <c r="O381" i="20"/>
  <c r="P381" i="20"/>
  <c r="L382" i="20"/>
  <c r="L380" i="20" s="1"/>
  <c r="O380" i="20" s="1"/>
  <c r="M382" i="20"/>
  <c r="M380" i="20" s="1"/>
  <c r="P380" i="20" s="1"/>
  <c r="N382" i="20"/>
  <c r="N380" i="20" s="1"/>
  <c r="O384" i="20"/>
  <c r="P384" i="20"/>
  <c r="L385" i="20"/>
  <c r="L383" i="20" s="1"/>
  <c r="O383" i="20" s="1"/>
  <c r="M385" i="20"/>
  <c r="M383" i="20" s="1"/>
  <c r="P383" i="20" s="1"/>
  <c r="N385" i="20"/>
  <c r="N383" i="20" s="1"/>
  <c r="K387" i="20"/>
  <c r="K388" i="20"/>
  <c r="A391" i="20"/>
  <c r="A3" i="19"/>
  <c r="L22" i="19"/>
  <c r="L19" i="19" s="1"/>
  <c r="M22" i="19"/>
  <c r="N22" i="19"/>
  <c r="L25" i="19"/>
  <c r="M25" i="19"/>
  <c r="P25" i="19" s="1"/>
  <c r="N25" i="19"/>
  <c r="O25" i="19"/>
  <c r="L45" i="19"/>
  <c r="M45" i="19"/>
  <c r="P45" i="19" s="1"/>
  <c r="N45" i="19"/>
  <c r="O45" i="19"/>
  <c r="O48" i="19"/>
  <c r="P48" i="19"/>
  <c r="L49" i="19"/>
  <c r="L47" i="19" s="1"/>
  <c r="M49" i="19"/>
  <c r="M47" i="19" s="1"/>
  <c r="N49" i="19"/>
  <c r="N47" i="19" s="1"/>
  <c r="O51" i="19"/>
  <c r="P51" i="19"/>
  <c r="L52" i="19"/>
  <c r="O52" i="19" s="1"/>
  <c r="M52" i="19"/>
  <c r="P52" i="19" s="1"/>
  <c r="N52" i="19"/>
  <c r="L60" i="19"/>
  <c r="M60" i="19"/>
  <c r="P60" i="19" s="1"/>
  <c r="N60" i="19"/>
  <c r="O63" i="19"/>
  <c r="P63" i="19"/>
  <c r="L64" i="19"/>
  <c r="L62" i="19" s="1"/>
  <c r="M64" i="19"/>
  <c r="M62" i="19" s="1"/>
  <c r="N64" i="19"/>
  <c r="O66" i="19"/>
  <c r="P66" i="19"/>
  <c r="L67" i="19"/>
  <c r="O67" i="19" s="1"/>
  <c r="M67" i="19"/>
  <c r="M65" i="19" s="1"/>
  <c r="P65" i="19" s="1"/>
  <c r="N67" i="19"/>
  <c r="N65" i="19" s="1"/>
  <c r="L73" i="19"/>
  <c r="O73" i="19" s="1"/>
  <c r="M73" i="19"/>
  <c r="N73" i="19"/>
  <c r="O76" i="19"/>
  <c r="P76" i="19"/>
  <c r="L77" i="19"/>
  <c r="O77" i="19" s="1"/>
  <c r="M77" i="19"/>
  <c r="M75" i="19" s="1"/>
  <c r="P75" i="19" s="1"/>
  <c r="N77" i="19"/>
  <c r="N75" i="19" s="1"/>
  <c r="O79" i="19"/>
  <c r="P79" i="19"/>
  <c r="L80" i="19"/>
  <c r="L78" i="19" s="1"/>
  <c r="O78" i="19" s="1"/>
  <c r="M80" i="19"/>
  <c r="M78" i="19" s="1"/>
  <c r="P78" i="19" s="1"/>
  <c r="N80" i="19"/>
  <c r="J82" i="19"/>
  <c r="J70" i="19" s="1"/>
  <c r="J83" i="19"/>
  <c r="J71" i="19" s="1"/>
  <c r="I84" i="19"/>
  <c r="I85" i="19"/>
  <c r="K85" i="19" s="1"/>
  <c r="I86" i="19"/>
  <c r="K86" i="19" s="1"/>
  <c r="I87" i="19"/>
  <c r="K87" i="19" s="1"/>
  <c r="I88" i="19"/>
  <c r="K88" i="19" s="1"/>
  <c r="I89" i="19"/>
  <c r="K89" i="19" s="1"/>
  <c r="I90" i="19"/>
  <c r="K90" i="19" s="1"/>
  <c r="J92" i="19"/>
  <c r="J93" i="19"/>
  <c r="L95" i="19"/>
  <c r="M95" i="19"/>
  <c r="N95" i="19"/>
  <c r="O95" i="19"/>
  <c r="P95" i="19"/>
  <c r="O98" i="19"/>
  <c r="P98" i="19"/>
  <c r="L99" i="19"/>
  <c r="M99" i="19"/>
  <c r="N99" i="19"/>
  <c r="O101" i="19"/>
  <c r="P101" i="19"/>
  <c r="L102" i="19"/>
  <c r="L100" i="19" s="1"/>
  <c r="O100" i="19" s="1"/>
  <c r="M102" i="19"/>
  <c r="M100" i="19" s="1"/>
  <c r="P100" i="19" s="1"/>
  <c r="N102" i="19"/>
  <c r="N100" i="19" s="1"/>
  <c r="I108" i="19"/>
  <c r="K108" i="19" s="1"/>
  <c r="I109" i="19"/>
  <c r="I93" i="19" s="1"/>
  <c r="K93" i="19" s="1"/>
  <c r="I117" i="19"/>
  <c r="K117" i="19" s="1"/>
  <c r="L126" i="19"/>
  <c r="O126" i="19" s="1"/>
  <c r="M126" i="19"/>
  <c r="P126" i="19" s="1"/>
  <c r="N126" i="19"/>
  <c r="O129" i="19"/>
  <c r="P129" i="19"/>
  <c r="L130" i="19"/>
  <c r="O130" i="19" s="1"/>
  <c r="M130" i="19"/>
  <c r="P130" i="19" s="1"/>
  <c r="N130" i="19"/>
  <c r="N128" i="19" s="1"/>
  <c r="O132" i="19"/>
  <c r="P132" i="19"/>
  <c r="L133" i="19"/>
  <c r="O133" i="19" s="1"/>
  <c r="M133" i="19"/>
  <c r="P133" i="19" s="1"/>
  <c r="N133" i="19"/>
  <c r="N131" i="19" s="1"/>
  <c r="J136" i="19"/>
  <c r="J137" i="19"/>
  <c r="J138" i="19"/>
  <c r="L140" i="19"/>
  <c r="O140" i="19" s="1"/>
  <c r="M140" i="19"/>
  <c r="P140" i="19" s="1"/>
  <c r="N140" i="19"/>
  <c r="O143" i="19"/>
  <c r="P143" i="19"/>
  <c r="L144" i="19"/>
  <c r="L142" i="19" s="1"/>
  <c r="O142" i="19" s="1"/>
  <c r="M144" i="19"/>
  <c r="P144" i="19" s="1"/>
  <c r="N144" i="19"/>
  <c r="N142" i="19" s="1"/>
  <c r="O146" i="19"/>
  <c r="P146" i="19"/>
  <c r="L147" i="19"/>
  <c r="O147" i="19" s="1"/>
  <c r="M147" i="19"/>
  <c r="P147" i="19" s="1"/>
  <c r="N147" i="19"/>
  <c r="N145" i="19" s="1"/>
  <c r="I150" i="19"/>
  <c r="K150" i="19" s="1"/>
  <c r="I151" i="19"/>
  <c r="K151" i="19" s="1"/>
  <c r="I152" i="19"/>
  <c r="K152" i="19" s="1"/>
  <c r="I153" i="19"/>
  <c r="I138" i="19" s="1"/>
  <c r="K138" i="19" s="1"/>
  <c r="I154" i="19"/>
  <c r="I136" i="19" s="1"/>
  <c r="K136" i="19" s="1"/>
  <c r="J156" i="19"/>
  <c r="L158" i="19"/>
  <c r="O158" i="19" s="1"/>
  <c r="M158" i="19"/>
  <c r="N158" i="19"/>
  <c r="P158" i="19"/>
  <c r="O161" i="19"/>
  <c r="P161" i="19"/>
  <c r="L162" i="19"/>
  <c r="M162" i="19"/>
  <c r="M160" i="19" s="1"/>
  <c r="P160" i="19" s="1"/>
  <c r="N162" i="19"/>
  <c r="O164" i="19"/>
  <c r="P164" i="19"/>
  <c r="L165" i="19"/>
  <c r="L163" i="19" s="1"/>
  <c r="O163" i="19" s="1"/>
  <c r="M165" i="19"/>
  <c r="M163" i="19" s="1"/>
  <c r="P163" i="19" s="1"/>
  <c r="N165" i="19"/>
  <c r="N163" i="19" s="1"/>
  <c r="I167" i="19"/>
  <c r="K167" i="19" s="1"/>
  <c r="I168" i="19"/>
  <c r="K168" i="19" s="1"/>
  <c r="I169" i="19"/>
  <c r="I156" i="19" s="1"/>
  <c r="K156" i="19" s="1"/>
  <c r="J172" i="19"/>
  <c r="L174" i="19"/>
  <c r="M174" i="19"/>
  <c r="N174" i="19"/>
  <c r="O177" i="19"/>
  <c r="P177" i="19"/>
  <c r="L178" i="19"/>
  <c r="L176" i="19" s="1"/>
  <c r="M178" i="19"/>
  <c r="M176" i="19" s="1"/>
  <c r="N178" i="19"/>
  <c r="O180" i="19"/>
  <c r="P180" i="19"/>
  <c r="L181" i="19"/>
  <c r="L179" i="19" s="1"/>
  <c r="O179" i="19" s="1"/>
  <c r="M181" i="19"/>
  <c r="M179" i="19" s="1"/>
  <c r="P179" i="19" s="1"/>
  <c r="N181" i="19"/>
  <c r="I183" i="19"/>
  <c r="K183" i="19" s="1"/>
  <c r="K184" i="19"/>
  <c r="L187" i="19"/>
  <c r="M187" i="19"/>
  <c r="N187" i="19"/>
  <c r="O187" i="19"/>
  <c r="P187" i="19"/>
  <c r="O190" i="19"/>
  <c r="P190" i="19"/>
  <c r="L191" i="19"/>
  <c r="L189" i="19" s="1"/>
  <c r="M191" i="19"/>
  <c r="M189" i="19" s="1"/>
  <c r="N191" i="19"/>
  <c r="O193" i="19"/>
  <c r="P193" i="19"/>
  <c r="L194" i="19"/>
  <c r="O194" i="19" s="1"/>
  <c r="M194" i="19"/>
  <c r="M192" i="19" s="1"/>
  <c r="P192" i="19" s="1"/>
  <c r="N194" i="19"/>
  <c r="N192" i="19" s="1"/>
  <c r="J195" i="19"/>
  <c r="L196" i="19"/>
  <c r="O196" i="19" s="1"/>
  <c r="P196" i="19"/>
  <c r="I198" i="19"/>
  <c r="K198" i="19" s="1"/>
  <c r="J199" i="19"/>
  <c r="J202" i="19"/>
  <c r="N203" i="19"/>
  <c r="P203" i="19"/>
  <c r="L204" i="19"/>
  <c r="L205" i="19"/>
  <c r="L206" i="19"/>
  <c r="L207" i="19"/>
  <c r="I209" i="19"/>
  <c r="I202" i="19" s="1"/>
  <c r="K202" i="19" s="1"/>
  <c r="I211" i="19"/>
  <c r="K211" i="19" s="1"/>
  <c r="I212" i="19"/>
  <c r="K212" i="19" s="1"/>
  <c r="J213" i="19"/>
  <c r="N214" i="19"/>
  <c r="P214" i="19"/>
  <c r="L215" i="19"/>
  <c r="L216" i="19"/>
  <c r="L217" i="19"/>
  <c r="I219" i="19"/>
  <c r="K219" i="19" s="1"/>
  <c r="I220" i="19"/>
  <c r="K220" i="19" s="1"/>
  <c r="J221" i="19"/>
  <c r="N222" i="19"/>
  <c r="P222" i="19"/>
  <c r="L223" i="19"/>
  <c r="L224" i="19"/>
  <c r="L225" i="19"/>
  <c r="I228" i="19"/>
  <c r="K228" i="19" s="1"/>
  <c r="I229" i="19"/>
  <c r="I221" i="19" s="1"/>
  <c r="K221" i="19" s="1"/>
  <c r="I230" i="19"/>
  <c r="K230" i="19" s="1"/>
  <c r="J231" i="19"/>
  <c r="J185" i="19" s="1"/>
  <c r="N233" i="19"/>
  <c r="N234" i="19"/>
  <c r="N235" i="19"/>
  <c r="N236" i="19"/>
  <c r="J238" i="19"/>
  <c r="I240" i="19"/>
  <c r="J240" i="19"/>
  <c r="K240" i="19"/>
  <c r="I241" i="19"/>
  <c r="K241" i="19" s="1"/>
  <c r="J241" i="19"/>
  <c r="J242" i="19"/>
  <c r="N243" i="19"/>
  <c r="N232" i="19" s="1"/>
  <c r="P243" i="19"/>
  <c r="L244" i="19"/>
  <c r="L245" i="19"/>
  <c r="L246" i="19"/>
  <c r="L247" i="19"/>
  <c r="I249" i="19"/>
  <c r="K249" i="19" s="1"/>
  <c r="K251" i="19"/>
  <c r="K252" i="19"/>
  <c r="J253" i="19"/>
  <c r="N254" i="19"/>
  <c r="P254" i="19"/>
  <c r="L255" i="19"/>
  <c r="L256" i="19"/>
  <c r="L257" i="19"/>
  <c r="L258" i="19"/>
  <c r="I260" i="19"/>
  <c r="K262" i="19"/>
  <c r="K263" i="19"/>
  <c r="I265" i="19"/>
  <c r="K265" i="19" s="1"/>
  <c r="J265" i="19"/>
  <c r="L267" i="19"/>
  <c r="M267" i="19"/>
  <c r="N267" i="19"/>
  <c r="O270" i="19"/>
  <c r="P270" i="19"/>
  <c r="L271" i="19"/>
  <c r="O271" i="19" s="1"/>
  <c r="M271" i="19"/>
  <c r="M269" i="19" s="1"/>
  <c r="P269" i="19" s="1"/>
  <c r="N271" i="19"/>
  <c r="N269" i="19" s="1"/>
  <c r="O273" i="19"/>
  <c r="P273" i="19"/>
  <c r="L274" i="19"/>
  <c r="O274" i="19" s="1"/>
  <c r="M274" i="19"/>
  <c r="M272" i="19" s="1"/>
  <c r="P272" i="19" s="1"/>
  <c r="N274" i="19"/>
  <c r="J281" i="19"/>
  <c r="L283" i="19"/>
  <c r="O283" i="19" s="1"/>
  <c r="M283" i="19"/>
  <c r="P283" i="19" s="1"/>
  <c r="N283" i="19"/>
  <c r="O286" i="19"/>
  <c r="P286" i="19"/>
  <c r="L287" i="19"/>
  <c r="L285" i="19" s="1"/>
  <c r="O285" i="19" s="1"/>
  <c r="M287" i="19"/>
  <c r="M285" i="19" s="1"/>
  <c r="P285" i="19" s="1"/>
  <c r="N287" i="19"/>
  <c r="O289" i="19"/>
  <c r="P289" i="19"/>
  <c r="L290" i="19"/>
  <c r="L288" i="19" s="1"/>
  <c r="O288" i="19" s="1"/>
  <c r="M290" i="19"/>
  <c r="M288" i="19" s="1"/>
  <c r="P288" i="19" s="1"/>
  <c r="N290" i="19"/>
  <c r="N288" i="19" s="1"/>
  <c r="I292" i="19"/>
  <c r="K292" i="19" s="1"/>
  <c r="I293" i="19"/>
  <c r="K293" i="19" s="1"/>
  <c r="J293" i="19"/>
  <c r="J280" i="19" s="1"/>
  <c r="I295" i="19"/>
  <c r="K295" i="19" s="1"/>
  <c r="I296" i="19"/>
  <c r="K296" i="19" s="1"/>
  <c r="J302" i="19"/>
  <c r="L304" i="19"/>
  <c r="M304" i="19"/>
  <c r="N304" i="19"/>
  <c r="O304" i="19"/>
  <c r="P304" i="19"/>
  <c r="O307" i="19"/>
  <c r="P307" i="19"/>
  <c r="L308" i="19"/>
  <c r="O308" i="19" s="1"/>
  <c r="M308" i="19"/>
  <c r="M306" i="19" s="1"/>
  <c r="P306" i="19" s="1"/>
  <c r="N308" i="19"/>
  <c r="O310" i="19"/>
  <c r="P310" i="19"/>
  <c r="L311" i="19"/>
  <c r="L309" i="19" s="1"/>
  <c r="O309" i="19" s="1"/>
  <c r="M311" i="19"/>
  <c r="M309" i="19" s="1"/>
  <c r="P309" i="19" s="1"/>
  <c r="N311" i="19"/>
  <c r="N309" i="19" s="1"/>
  <c r="I314" i="19"/>
  <c r="K314" i="19" s="1"/>
  <c r="I315" i="19"/>
  <c r="K315" i="19" s="1"/>
  <c r="I316" i="19"/>
  <c r="K316" i="19" s="1"/>
  <c r="I317" i="19"/>
  <c r="K317" i="19" s="1"/>
  <c r="J319" i="19"/>
  <c r="L321" i="19"/>
  <c r="O321" i="19" s="1"/>
  <c r="M321" i="19"/>
  <c r="N321" i="19"/>
  <c r="O324" i="19"/>
  <c r="P324" i="19"/>
  <c r="L325" i="19"/>
  <c r="L323" i="19" s="1"/>
  <c r="O323" i="19" s="1"/>
  <c r="M325" i="19"/>
  <c r="M323" i="19" s="1"/>
  <c r="P323" i="19" s="1"/>
  <c r="N325" i="19"/>
  <c r="N323" i="19" s="1"/>
  <c r="O327" i="19"/>
  <c r="P327" i="19"/>
  <c r="L328" i="19"/>
  <c r="O328" i="19" s="1"/>
  <c r="M328" i="19"/>
  <c r="P328" i="19" s="1"/>
  <c r="N328" i="19"/>
  <c r="N326" i="19" s="1"/>
  <c r="I330" i="19"/>
  <c r="I319" i="19" s="1"/>
  <c r="K319" i="19" s="1"/>
  <c r="L334" i="19"/>
  <c r="O334" i="19" s="1"/>
  <c r="M334" i="19"/>
  <c r="N334" i="19"/>
  <c r="P334" i="19"/>
  <c r="O337" i="19"/>
  <c r="P337" i="19"/>
  <c r="L338" i="19"/>
  <c r="L336" i="19" s="1"/>
  <c r="M338" i="19"/>
  <c r="N338" i="19"/>
  <c r="O340" i="19"/>
  <c r="P340" i="19"/>
  <c r="L341" i="19"/>
  <c r="L339" i="19" s="1"/>
  <c r="O339" i="19" s="1"/>
  <c r="M341" i="19"/>
  <c r="P341" i="19" s="1"/>
  <c r="N341" i="19"/>
  <c r="N339" i="19" s="1"/>
  <c r="I344" i="19"/>
  <c r="J344" i="19"/>
  <c r="I346" i="19"/>
  <c r="J346" i="19"/>
  <c r="J347" i="19"/>
  <c r="J348" i="19"/>
  <c r="J349" i="19"/>
  <c r="D350" i="19"/>
  <c r="J352" i="19"/>
  <c r="J353" i="19"/>
  <c r="D354" i="19"/>
  <c r="L357" i="19"/>
  <c r="O357" i="19" s="1"/>
  <c r="M357" i="19"/>
  <c r="N357" i="19"/>
  <c r="P357" i="19"/>
  <c r="O360" i="19"/>
  <c r="P360" i="19"/>
  <c r="L361" i="19"/>
  <c r="L359" i="19" s="1"/>
  <c r="M361" i="19"/>
  <c r="N361" i="19"/>
  <c r="N359" i="19" s="1"/>
  <c r="O363" i="19"/>
  <c r="P363" i="19"/>
  <c r="L364" i="19"/>
  <c r="L362" i="19" s="1"/>
  <c r="O362" i="19" s="1"/>
  <c r="M364" i="19"/>
  <c r="M362" i="19" s="1"/>
  <c r="P362" i="19" s="1"/>
  <c r="N364" i="19"/>
  <c r="N362" i="19" s="1"/>
  <c r="J367" i="19"/>
  <c r="K367" i="19"/>
  <c r="I368" i="19"/>
  <c r="J368" i="19"/>
  <c r="I369" i="19"/>
  <c r="J369" i="19"/>
  <c r="J370" i="19"/>
  <c r="K370" i="19"/>
  <c r="I371" i="19"/>
  <c r="I365" i="19" s="1"/>
  <c r="J371" i="19"/>
  <c r="J365" i="19" s="1"/>
  <c r="J372" i="19"/>
  <c r="K372" i="19"/>
  <c r="D373" i="19"/>
  <c r="I376" i="19"/>
  <c r="K376" i="19" s="1"/>
  <c r="J376" i="19"/>
  <c r="L378" i="19"/>
  <c r="O378" i="19" s="1"/>
  <c r="M378" i="19"/>
  <c r="P378" i="19" s="1"/>
  <c r="N378" i="19"/>
  <c r="O381" i="19"/>
  <c r="P381" i="19"/>
  <c r="L382" i="19"/>
  <c r="L380" i="19" s="1"/>
  <c r="O380" i="19" s="1"/>
  <c r="M382" i="19"/>
  <c r="M380" i="19" s="1"/>
  <c r="P380" i="19" s="1"/>
  <c r="N382" i="19"/>
  <c r="N380" i="19" s="1"/>
  <c r="O384" i="19"/>
  <c r="P384" i="19"/>
  <c r="L385" i="19"/>
  <c r="O385" i="19" s="1"/>
  <c r="M385" i="19"/>
  <c r="M383" i="19" s="1"/>
  <c r="P383" i="19" s="1"/>
  <c r="N385" i="19"/>
  <c r="N383" i="19" s="1"/>
  <c r="K387" i="19"/>
  <c r="K388" i="19"/>
  <c r="A391" i="19"/>
  <c r="A3" i="18"/>
  <c r="L22" i="18"/>
  <c r="M22" i="18"/>
  <c r="P22" i="18" s="1"/>
  <c r="N22" i="18"/>
  <c r="L25" i="18"/>
  <c r="O25" i="18" s="1"/>
  <c r="M25" i="18"/>
  <c r="N25" i="18"/>
  <c r="L45" i="18"/>
  <c r="M45" i="18"/>
  <c r="P45" i="18" s="1"/>
  <c r="N45" i="18"/>
  <c r="O45" i="18"/>
  <c r="O48" i="18"/>
  <c r="P48" i="18"/>
  <c r="L49" i="18"/>
  <c r="L47" i="18" s="1"/>
  <c r="M49" i="18"/>
  <c r="M47" i="18" s="1"/>
  <c r="N49" i="18"/>
  <c r="N47" i="18" s="1"/>
  <c r="O51" i="18"/>
  <c r="P51" i="18"/>
  <c r="L52" i="18"/>
  <c r="L50" i="18" s="1"/>
  <c r="O50" i="18" s="1"/>
  <c r="M52" i="18"/>
  <c r="M50" i="18" s="1"/>
  <c r="P50" i="18" s="1"/>
  <c r="N52" i="18"/>
  <c r="L60" i="18"/>
  <c r="M60" i="18"/>
  <c r="N60" i="18"/>
  <c r="P60" i="18"/>
  <c r="O63" i="18"/>
  <c r="P63" i="18"/>
  <c r="L64" i="18"/>
  <c r="L62" i="18" s="1"/>
  <c r="M64" i="18"/>
  <c r="N64" i="18"/>
  <c r="N62" i="18" s="1"/>
  <c r="O66" i="18"/>
  <c r="P66" i="18"/>
  <c r="L67" i="18"/>
  <c r="M67" i="18"/>
  <c r="N67" i="18"/>
  <c r="N65" i="18" s="1"/>
  <c r="L73" i="18"/>
  <c r="O73" i="18" s="1"/>
  <c r="M73" i="18"/>
  <c r="N73" i="18"/>
  <c r="O76" i="18"/>
  <c r="P76" i="18"/>
  <c r="L77" i="18"/>
  <c r="M77" i="18"/>
  <c r="M75" i="18" s="1"/>
  <c r="N77" i="18"/>
  <c r="N75" i="18" s="1"/>
  <c r="O79" i="18"/>
  <c r="P79" i="18"/>
  <c r="L80" i="18"/>
  <c r="M80" i="18"/>
  <c r="M78" i="18" s="1"/>
  <c r="P78" i="18" s="1"/>
  <c r="N80" i="18"/>
  <c r="N78" i="18" s="1"/>
  <c r="J82" i="18"/>
  <c r="J70" i="18" s="1"/>
  <c r="J83" i="18"/>
  <c r="J71" i="18" s="1"/>
  <c r="I84" i="18"/>
  <c r="K84" i="18" s="1"/>
  <c r="I85" i="18"/>
  <c r="K85" i="18" s="1"/>
  <c r="I86" i="18"/>
  <c r="K86" i="18" s="1"/>
  <c r="I87" i="18"/>
  <c r="K87" i="18" s="1"/>
  <c r="I88" i="18"/>
  <c r="K88" i="18" s="1"/>
  <c r="I89" i="18"/>
  <c r="K89" i="18" s="1"/>
  <c r="I90" i="18"/>
  <c r="K90" i="18" s="1"/>
  <c r="J92" i="18"/>
  <c r="J93" i="18"/>
  <c r="L95" i="18"/>
  <c r="O95" i="18" s="1"/>
  <c r="M95" i="18"/>
  <c r="P95" i="18" s="1"/>
  <c r="N95" i="18"/>
  <c r="O98" i="18"/>
  <c r="P98" i="18"/>
  <c r="L99" i="18"/>
  <c r="L97" i="18" s="1"/>
  <c r="O97" i="18" s="1"/>
  <c r="M99" i="18"/>
  <c r="N99" i="18"/>
  <c r="N97" i="18" s="1"/>
  <c r="O101" i="18"/>
  <c r="P101" i="18"/>
  <c r="L102" i="18"/>
  <c r="L100" i="18" s="1"/>
  <c r="O100" i="18" s="1"/>
  <c r="M102" i="18"/>
  <c r="N102" i="18"/>
  <c r="N100" i="18" s="1"/>
  <c r="I108" i="18"/>
  <c r="K108" i="18" s="1"/>
  <c r="I109" i="18"/>
  <c r="I93" i="18" s="1"/>
  <c r="K93" i="18" s="1"/>
  <c r="I117" i="18"/>
  <c r="K117" i="18" s="1"/>
  <c r="L126" i="18"/>
  <c r="O126" i="18" s="1"/>
  <c r="M126" i="18"/>
  <c r="N126" i="18"/>
  <c r="O129" i="18"/>
  <c r="P129" i="18"/>
  <c r="L130" i="18"/>
  <c r="O130" i="18" s="1"/>
  <c r="M130" i="18"/>
  <c r="M128" i="18" s="1"/>
  <c r="P128" i="18" s="1"/>
  <c r="N130" i="18"/>
  <c r="N128" i="18" s="1"/>
  <c r="O132" i="18"/>
  <c r="P132" i="18"/>
  <c r="L133" i="18"/>
  <c r="O133" i="18" s="1"/>
  <c r="M133" i="18"/>
  <c r="M131" i="18" s="1"/>
  <c r="P131" i="18" s="1"/>
  <c r="N133" i="18"/>
  <c r="N131" i="18" s="1"/>
  <c r="J136" i="18"/>
  <c r="J137" i="18"/>
  <c r="J138" i="18"/>
  <c r="L140" i="18"/>
  <c r="M140" i="18"/>
  <c r="N140" i="18"/>
  <c r="O140" i="18"/>
  <c r="P140" i="18"/>
  <c r="O143" i="18"/>
  <c r="P143" i="18"/>
  <c r="L144" i="18"/>
  <c r="O144" i="18" s="1"/>
  <c r="M144" i="18"/>
  <c r="M142" i="18" s="1"/>
  <c r="P142" i="18" s="1"/>
  <c r="N144" i="18"/>
  <c r="N142" i="18" s="1"/>
  <c r="O146" i="18"/>
  <c r="P146" i="18"/>
  <c r="L147" i="18"/>
  <c r="O147" i="18" s="1"/>
  <c r="M147" i="18"/>
  <c r="M145" i="18" s="1"/>
  <c r="P145" i="18" s="1"/>
  <c r="N147" i="18"/>
  <c r="N145" i="18" s="1"/>
  <c r="I150" i="18"/>
  <c r="K150" i="18" s="1"/>
  <c r="I151" i="18"/>
  <c r="K151" i="18" s="1"/>
  <c r="I152" i="18"/>
  <c r="I137" i="18" s="1"/>
  <c r="K137" i="18" s="1"/>
  <c r="I153" i="18"/>
  <c r="I154" i="18"/>
  <c r="K154" i="18" s="1"/>
  <c r="J156" i="18"/>
  <c r="L158" i="18"/>
  <c r="O158" i="18" s="1"/>
  <c r="M158" i="18"/>
  <c r="N158" i="18"/>
  <c r="O161" i="18"/>
  <c r="P161" i="18"/>
  <c r="L162" i="18"/>
  <c r="O162" i="18" s="1"/>
  <c r="M162" i="18"/>
  <c r="M160" i="18" s="1"/>
  <c r="P160" i="18" s="1"/>
  <c r="N162" i="18"/>
  <c r="N160" i="18" s="1"/>
  <c r="O164" i="18"/>
  <c r="P164" i="18"/>
  <c r="L165" i="18"/>
  <c r="O165" i="18" s="1"/>
  <c r="M165" i="18"/>
  <c r="P165" i="18" s="1"/>
  <c r="N165" i="18"/>
  <c r="N163" i="18" s="1"/>
  <c r="I167" i="18"/>
  <c r="K167" i="18" s="1"/>
  <c r="I168" i="18"/>
  <c r="K168" i="18" s="1"/>
  <c r="I169" i="18"/>
  <c r="I156" i="18" s="1"/>
  <c r="K156" i="18" s="1"/>
  <c r="J172" i="18"/>
  <c r="L174" i="18"/>
  <c r="M174" i="18"/>
  <c r="N174" i="18"/>
  <c r="O174" i="18"/>
  <c r="O177" i="18"/>
  <c r="P177" i="18"/>
  <c r="L178" i="18"/>
  <c r="M178" i="18"/>
  <c r="M176" i="18" s="1"/>
  <c r="N178" i="18"/>
  <c r="N176" i="18" s="1"/>
  <c r="O180" i="18"/>
  <c r="P180" i="18"/>
  <c r="L181" i="18"/>
  <c r="O181" i="18" s="1"/>
  <c r="M181" i="18"/>
  <c r="P181" i="18" s="1"/>
  <c r="N181" i="18"/>
  <c r="I183" i="18"/>
  <c r="I172" i="18" s="1"/>
  <c r="K184" i="18"/>
  <c r="L187" i="18"/>
  <c r="M187" i="18"/>
  <c r="N187" i="18"/>
  <c r="O190" i="18"/>
  <c r="P190" i="18"/>
  <c r="L191" i="18"/>
  <c r="M191" i="18"/>
  <c r="M189" i="18" s="1"/>
  <c r="N191" i="18"/>
  <c r="N189" i="18" s="1"/>
  <c r="O193" i="18"/>
  <c r="P193" i="18"/>
  <c r="L194" i="18"/>
  <c r="L192" i="18" s="1"/>
  <c r="O192" i="18" s="1"/>
  <c r="M194" i="18"/>
  <c r="M192" i="18" s="1"/>
  <c r="P192" i="18" s="1"/>
  <c r="N194" i="18"/>
  <c r="N192" i="18" s="1"/>
  <c r="J195" i="18"/>
  <c r="L196" i="18"/>
  <c r="O196" i="18" s="1"/>
  <c r="P196" i="18"/>
  <c r="I198" i="18"/>
  <c r="K198" i="18" s="1"/>
  <c r="J199" i="18"/>
  <c r="J202" i="18"/>
  <c r="N203" i="18"/>
  <c r="P203" i="18"/>
  <c r="L204" i="18"/>
  <c r="L205" i="18"/>
  <c r="L206" i="18"/>
  <c r="L207" i="18"/>
  <c r="I209" i="18"/>
  <c r="I202" i="18" s="1"/>
  <c r="I211" i="18"/>
  <c r="K211" i="18" s="1"/>
  <c r="I212" i="18"/>
  <c r="K212" i="18" s="1"/>
  <c r="J213" i="18"/>
  <c r="N214" i="18"/>
  <c r="P214" i="18"/>
  <c r="L215" i="18"/>
  <c r="L216" i="18"/>
  <c r="L217" i="18"/>
  <c r="I219" i="18"/>
  <c r="K219" i="18" s="1"/>
  <c r="I220" i="18"/>
  <c r="K220" i="18" s="1"/>
  <c r="J221" i="18"/>
  <c r="N222" i="18"/>
  <c r="P222" i="18"/>
  <c r="L223" i="18"/>
  <c r="L224" i="18"/>
  <c r="L225" i="18"/>
  <c r="I228" i="18"/>
  <c r="K228" i="18" s="1"/>
  <c r="I229" i="18"/>
  <c r="K229" i="18" s="1"/>
  <c r="I230" i="18"/>
  <c r="K230" i="18" s="1"/>
  <c r="N232" i="18"/>
  <c r="N233" i="18"/>
  <c r="N234" i="18"/>
  <c r="N235" i="18"/>
  <c r="N236" i="18"/>
  <c r="J238" i="18"/>
  <c r="I240" i="18"/>
  <c r="K240" i="18" s="1"/>
  <c r="J240" i="18"/>
  <c r="I241" i="18"/>
  <c r="K241" i="18" s="1"/>
  <c r="J241" i="18"/>
  <c r="J242" i="18"/>
  <c r="N243" i="18"/>
  <c r="P243" i="18"/>
  <c r="L244" i="18"/>
  <c r="L245" i="18"/>
  <c r="L246" i="18"/>
  <c r="L247" i="18"/>
  <c r="I249" i="18"/>
  <c r="K249" i="18" s="1"/>
  <c r="K251" i="18"/>
  <c r="K252" i="18"/>
  <c r="J253" i="18"/>
  <c r="J231" i="18" s="1"/>
  <c r="J185" i="18" s="1"/>
  <c r="N254" i="18"/>
  <c r="P254" i="18"/>
  <c r="L255" i="18"/>
  <c r="L256" i="18"/>
  <c r="L257" i="18"/>
  <c r="L258" i="18"/>
  <c r="I260" i="18"/>
  <c r="K262" i="18"/>
  <c r="K263" i="18"/>
  <c r="I265" i="18"/>
  <c r="J265" i="18"/>
  <c r="K265" i="18"/>
  <c r="L267" i="18"/>
  <c r="M267" i="18"/>
  <c r="N267" i="18"/>
  <c r="O270" i="18"/>
  <c r="P270" i="18"/>
  <c r="L271" i="18"/>
  <c r="M271" i="18"/>
  <c r="M269" i="18" s="1"/>
  <c r="P269" i="18" s="1"/>
  <c r="N271" i="18"/>
  <c r="N269" i="18" s="1"/>
  <c r="O273" i="18"/>
  <c r="P273" i="18"/>
  <c r="L274" i="18"/>
  <c r="M274" i="18"/>
  <c r="M272" i="18" s="1"/>
  <c r="P272" i="18" s="1"/>
  <c r="N274" i="18"/>
  <c r="N272" i="18" s="1"/>
  <c r="J281" i="18"/>
  <c r="L283" i="18"/>
  <c r="M283" i="18"/>
  <c r="N283" i="18"/>
  <c r="O283" i="18"/>
  <c r="O286" i="18"/>
  <c r="P286" i="18"/>
  <c r="L287" i="18"/>
  <c r="O287" i="18" s="1"/>
  <c r="M287" i="18"/>
  <c r="M285" i="18" s="1"/>
  <c r="P285" i="18" s="1"/>
  <c r="N287" i="18"/>
  <c r="N285" i="18" s="1"/>
  <c r="O289" i="18"/>
  <c r="P289" i="18"/>
  <c r="L290" i="18"/>
  <c r="O290" i="18" s="1"/>
  <c r="M290" i="18"/>
  <c r="P290" i="18" s="1"/>
  <c r="N290" i="18"/>
  <c r="N288" i="18" s="1"/>
  <c r="I292" i="18"/>
  <c r="I281" i="18" s="1"/>
  <c r="K281" i="18" s="1"/>
  <c r="I293" i="18"/>
  <c r="K293" i="18" s="1"/>
  <c r="J293" i="18"/>
  <c r="J280" i="18" s="1"/>
  <c r="I295" i="18"/>
  <c r="K295" i="18" s="1"/>
  <c r="I296" i="18"/>
  <c r="K296" i="18" s="1"/>
  <c r="J302" i="18"/>
  <c r="L304" i="18"/>
  <c r="M304" i="18"/>
  <c r="N304" i="18"/>
  <c r="O307" i="18"/>
  <c r="P307" i="18"/>
  <c r="L308" i="18"/>
  <c r="M308" i="18"/>
  <c r="M306" i="18" s="1"/>
  <c r="P306" i="18" s="1"/>
  <c r="N308" i="18"/>
  <c r="N306" i="18" s="1"/>
  <c r="O310" i="18"/>
  <c r="P310" i="18"/>
  <c r="L311" i="18"/>
  <c r="L309" i="18" s="1"/>
  <c r="O309" i="18" s="1"/>
  <c r="M311" i="18"/>
  <c r="M309" i="18" s="1"/>
  <c r="P309" i="18" s="1"/>
  <c r="N311" i="18"/>
  <c r="N309" i="18" s="1"/>
  <c r="I314" i="18"/>
  <c r="K314" i="18" s="1"/>
  <c r="I315" i="18"/>
  <c r="K315" i="18" s="1"/>
  <c r="I316" i="18"/>
  <c r="K316" i="18" s="1"/>
  <c r="I317" i="18"/>
  <c r="K317" i="18" s="1"/>
  <c r="J319" i="18"/>
  <c r="L321" i="18"/>
  <c r="O321" i="18" s="1"/>
  <c r="M321" i="18"/>
  <c r="N321" i="18"/>
  <c r="P321" i="18"/>
  <c r="O324" i="18"/>
  <c r="P324" i="18"/>
  <c r="L325" i="18"/>
  <c r="O325" i="18" s="1"/>
  <c r="M325" i="18"/>
  <c r="P325" i="18" s="1"/>
  <c r="N325" i="18"/>
  <c r="O327" i="18"/>
  <c r="P327" i="18"/>
  <c r="L328" i="18"/>
  <c r="O328" i="18" s="1"/>
  <c r="M328" i="18"/>
  <c r="P328" i="18" s="1"/>
  <c r="N328" i="18"/>
  <c r="N326" i="18" s="1"/>
  <c r="I330" i="18"/>
  <c r="I319" i="18" s="1"/>
  <c r="K319" i="18" s="1"/>
  <c r="L334" i="18"/>
  <c r="M334" i="18"/>
  <c r="N334" i="18"/>
  <c r="O334" i="18"/>
  <c r="P334" i="18"/>
  <c r="O337" i="18"/>
  <c r="P337" i="18"/>
  <c r="L338" i="18"/>
  <c r="M338" i="18"/>
  <c r="N338" i="18"/>
  <c r="O340" i="18"/>
  <c r="P340" i="18"/>
  <c r="L341" i="18"/>
  <c r="O341" i="18" s="1"/>
  <c r="M341" i="18"/>
  <c r="N341" i="18"/>
  <c r="N339" i="18" s="1"/>
  <c r="I344" i="18"/>
  <c r="I332" i="18" s="1"/>
  <c r="J344" i="18"/>
  <c r="I346" i="18"/>
  <c r="J346" i="18"/>
  <c r="J347" i="18"/>
  <c r="J348" i="18"/>
  <c r="J349" i="18"/>
  <c r="D350" i="18"/>
  <c r="J352" i="18"/>
  <c r="J353" i="18"/>
  <c r="D354" i="18"/>
  <c r="L357" i="18"/>
  <c r="O357" i="18" s="1"/>
  <c r="M357" i="18"/>
  <c r="P357" i="18" s="1"/>
  <c r="N357" i="18"/>
  <c r="O360" i="18"/>
  <c r="P360" i="18"/>
  <c r="L361" i="18"/>
  <c r="L359" i="18" s="1"/>
  <c r="M361" i="18"/>
  <c r="M359" i="18" s="1"/>
  <c r="N361" i="18"/>
  <c r="O363" i="18"/>
  <c r="P363" i="18"/>
  <c r="L364" i="18"/>
  <c r="O364" i="18" s="1"/>
  <c r="M364" i="18"/>
  <c r="M362" i="18" s="1"/>
  <c r="P362" i="18" s="1"/>
  <c r="N364" i="18"/>
  <c r="N362" i="18" s="1"/>
  <c r="J367" i="18"/>
  <c r="K367" i="18"/>
  <c r="I368" i="18"/>
  <c r="J368" i="18"/>
  <c r="I369" i="18"/>
  <c r="J369" i="18"/>
  <c r="J370" i="18"/>
  <c r="K370" i="18"/>
  <c r="I371" i="18"/>
  <c r="J371" i="18"/>
  <c r="J365" i="18" s="1"/>
  <c r="J372" i="18"/>
  <c r="K372" i="18"/>
  <c r="D373" i="18"/>
  <c r="I376" i="18"/>
  <c r="K376" i="18" s="1"/>
  <c r="J376" i="18"/>
  <c r="L378" i="18"/>
  <c r="M378" i="18"/>
  <c r="N378" i="18"/>
  <c r="O378" i="18"/>
  <c r="P378" i="18"/>
  <c r="O381" i="18"/>
  <c r="P381" i="18"/>
  <c r="L382" i="18"/>
  <c r="M382" i="18"/>
  <c r="P382" i="18" s="1"/>
  <c r="N382" i="18"/>
  <c r="O384" i="18"/>
  <c r="P384" i="18"/>
  <c r="L385" i="18"/>
  <c r="L383" i="18" s="1"/>
  <c r="O383" i="18" s="1"/>
  <c r="M385" i="18"/>
  <c r="M383" i="18" s="1"/>
  <c r="P383" i="18" s="1"/>
  <c r="N385" i="18"/>
  <c r="N383" i="18" s="1"/>
  <c r="K387" i="18"/>
  <c r="K388" i="18"/>
  <c r="A391" i="18"/>
  <c r="L22" i="17"/>
  <c r="L19" i="17" s="1"/>
  <c r="M22" i="17"/>
  <c r="N22" i="17"/>
  <c r="P22" i="17"/>
  <c r="L25" i="17"/>
  <c r="M25" i="17"/>
  <c r="M19" i="17" s="1"/>
  <c r="N25" i="17"/>
  <c r="N19" i="17" s="1"/>
  <c r="L45" i="17"/>
  <c r="M45" i="17"/>
  <c r="N45" i="17"/>
  <c r="P45" i="17"/>
  <c r="O48" i="17"/>
  <c r="P48" i="17"/>
  <c r="L49" i="17"/>
  <c r="L47" i="17" s="1"/>
  <c r="M49" i="17"/>
  <c r="M47" i="17" s="1"/>
  <c r="N49" i="17"/>
  <c r="N47" i="17" s="1"/>
  <c r="O51" i="17"/>
  <c r="P51" i="17"/>
  <c r="L52" i="17"/>
  <c r="O52" i="17" s="1"/>
  <c r="M52" i="17"/>
  <c r="M50" i="17" s="1"/>
  <c r="P50" i="17" s="1"/>
  <c r="N52" i="17"/>
  <c r="L60" i="17"/>
  <c r="O60" i="17" s="1"/>
  <c r="M60" i="17"/>
  <c r="N60" i="17"/>
  <c r="O63" i="17"/>
  <c r="P63" i="17"/>
  <c r="L64" i="17"/>
  <c r="M64" i="17"/>
  <c r="M62" i="17" s="1"/>
  <c r="N64" i="17"/>
  <c r="O66" i="17"/>
  <c r="P66" i="17"/>
  <c r="L67" i="17"/>
  <c r="L65" i="17" s="1"/>
  <c r="O65" i="17" s="1"/>
  <c r="M67" i="17"/>
  <c r="M65" i="17" s="1"/>
  <c r="P65" i="17" s="1"/>
  <c r="N67" i="17"/>
  <c r="N65" i="17" s="1"/>
  <c r="J71" i="17"/>
  <c r="L73" i="17"/>
  <c r="M73" i="17"/>
  <c r="P73" i="17" s="1"/>
  <c r="N73" i="17"/>
  <c r="O76" i="17"/>
  <c r="P76" i="17"/>
  <c r="L77" i="17"/>
  <c r="L75" i="17" s="1"/>
  <c r="O75" i="17" s="1"/>
  <c r="M77" i="17"/>
  <c r="M75" i="17" s="1"/>
  <c r="P75" i="17" s="1"/>
  <c r="N77" i="17"/>
  <c r="N75" i="17" s="1"/>
  <c r="O79" i="17"/>
  <c r="P79" i="17"/>
  <c r="L80" i="17"/>
  <c r="O80" i="17" s="1"/>
  <c r="M80" i="17"/>
  <c r="M78" i="17" s="1"/>
  <c r="P78" i="17" s="1"/>
  <c r="N80" i="17"/>
  <c r="N78" i="17" s="1"/>
  <c r="J82" i="17"/>
  <c r="J70" i="17" s="1"/>
  <c r="J83" i="17"/>
  <c r="I84" i="17"/>
  <c r="K84" i="17" s="1"/>
  <c r="I85" i="17"/>
  <c r="I86" i="17"/>
  <c r="K86" i="17" s="1"/>
  <c r="I87" i="17"/>
  <c r="K87" i="17" s="1"/>
  <c r="I88" i="17"/>
  <c r="K88" i="17" s="1"/>
  <c r="I89" i="17"/>
  <c r="K89" i="17" s="1"/>
  <c r="I90" i="17"/>
  <c r="K90" i="17" s="1"/>
  <c r="J92" i="17"/>
  <c r="J93" i="17"/>
  <c r="L95" i="17"/>
  <c r="O95" i="17" s="1"/>
  <c r="M95" i="17"/>
  <c r="N95" i="17"/>
  <c r="O98" i="17"/>
  <c r="P98" i="17"/>
  <c r="L99" i="17"/>
  <c r="M99" i="17"/>
  <c r="N99" i="17"/>
  <c r="N97" i="17" s="1"/>
  <c r="O101" i="17"/>
  <c r="P101" i="17"/>
  <c r="L102" i="17"/>
  <c r="L100" i="17" s="1"/>
  <c r="O100" i="17" s="1"/>
  <c r="M102" i="17"/>
  <c r="P102" i="17" s="1"/>
  <c r="N102" i="17"/>
  <c r="N100" i="17" s="1"/>
  <c r="I108" i="17"/>
  <c r="K108" i="17" s="1"/>
  <c r="I109" i="17"/>
  <c r="I93" i="17" s="1"/>
  <c r="K93" i="17" s="1"/>
  <c r="I117" i="17"/>
  <c r="K117" i="17" s="1"/>
  <c r="L126" i="17"/>
  <c r="O126" i="17" s="1"/>
  <c r="M126" i="17"/>
  <c r="P126" i="17" s="1"/>
  <c r="N126" i="17"/>
  <c r="O129" i="17"/>
  <c r="P129" i="17"/>
  <c r="L130" i="17"/>
  <c r="M130" i="17"/>
  <c r="M128" i="17" s="1"/>
  <c r="P128" i="17" s="1"/>
  <c r="N130" i="17"/>
  <c r="N128" i="17" s="1"/>
  <c r="O132" i="17"/>
  <c r="P132" i="17"/>
  <c r="L133" i="17"/>
  <c r="O133" i="17" s="1"/>
  <c r="M133" i="17"/>
  <c r="M131" i="17" s="1"/>
  <c r="P131" i="17" s="1"/>
  <c r="N133" i="17"/>
  <c r="N131" i="17" s="1"/>
  <c r="J136" i="17"/>
  <c r="J137" i="17"/>
  <c r="J138" i="17"/>
  <c r="L140" i="17"/>
  <c r="M140" i="17"/>
  <c r="P140" i="17" s="1"/>
  <c r="N140" i="17"/>
  <c r="O140" i="17"/>
  <c r="O143" i="17"/>
  <c r="P143" i="17"/>
  <c r="L144" i="17"/>
  <c r="L142" i="17" s="1"/>
  <c r="M144" i="17"/>
  <c r="N144" i="17"/>
  <c r="N142" i="17" s="1"/>
  <c r="O146" i="17"/>
  <c r="P146" i="17"/>
  <c r="L147" i="17"/>
  <c r="L145" i="17" s="1"/>
  <c r="O145" i="17" s="1"/>
  <c r="M147" i="17"/>
  <c r="P147" i="17" s="1"/>
  <c r="N147" i="17"/>
  <c r="N145" i="17" s="1"/>
  <c r="I150" i="17"/>
  <c r="K150" i="17" s="1"/>
  <c r="I151" i="17"/>
  <c r="K151" i="17" s="1"/>
  <c r="I152" i="17"/>
  <c r="I153" i="17"/>
  <c r="I138" i="17" s="1"/>
  <c r="K138" i="17" s="1"/>
  <c r="I154" i="17"/>
  <c r="K154" i="17" s="1"/>
  <c r="J156" i="17"/>
  <c r="L158" i="17"/>
  <c r="O158" i="17" s="1"/>
  <c r="M158" i="17"/>
  <c r="N158" i="17"/>
  <c r="O161" i="17"/>
  <c r="P161" i="17"/>
  <c r="L162" i="17"/>
  <c r="M162" i="17"/>
  <c r="N162" i="17"/>
  <c r="N160" i="17" s="1"/>
  <c r="O164" i="17"/>
  <c r="P164" i="17"/>
  <c r="L165" i="17"/>
  <c r="O165" i="17" s="1"/>
  <c r="M165" i="17"/>
  <c r="N165" i="17"/>
  <c r="N163" i="17" s="1"/>
  <c r="I167" i="17"/>
  <c r="K167" i="17" s="1"/>
  <c r="I168" i="17"/>
  <c r="K168" i="17" s="1"/>
  <c r="I169" i="17"/>
  <c r="I156" i="17" s="1"/>
  <c r="K156" i="17" s="1"/>
  <c r="J172" i="17"/>
  <c r="L174" i="17"/>
  <c r="O174" i="17" s="1"/>
  <c r="M174" i="17"/>
  <c r="P174" i="17" s="1"/>
  <c r="N174" i="17"/>
  <c r="O177" i="17"/>
  <c r="P177" i="17"/>
  <c r="L178" i="17"/>
  <c r="L176" i="17" s="1"/>
  <c r="M178" i="17"/>
  <c r="N178" i="17"/>
  <c r="N176" i="17" s="1"/>
  <c r="O180" i="17"/>
  <c r="P180" i="17"/>
  <c r="L181" i="17"/>
  <c r="O181" i="17" s="1"/>
  <c r="M181" i="17"/>
  <c r="N181" i="17"/>
  <c r="N179" i="17" s="1"/>
  <c r="I183" i="17"/>
  <c r="K183" i="17" s="1"/>
  <c r="K184" i="17"/>
  <c r="L187" i="17"/>
  <c r="M187" i="17"/>
  <c r="N187" i="17"/>
  <c r="O187" i="17"/>
  <c r="O190" i="17"/>
  <c r="P190" i="17"/>
  <c r="L191" i="17"/>
  <c r="L189" i="17" s="1"/>
  <c r="M191" i="17"/>
  <c r="M189" i="17" s="1"/>
  <c r="N191" i="17"/>
  <c r="O193" i="17"/>
  <c r="P193" i="17"/>
  <c r="L194" i="17"/>
  <c r="L192" i="17" s="1"/>
  <c r="O192" i="17" s="1"/>
  <c r="M194" i="17"/>
  <c r="M192" i="17" s="1"/>
  <c r="P192" i="17" s="1"/>
  <c r="N194" i="17"/>
  <c r="N192" i="17" s="1"/>
  <c r="J195" i="17"/>
  <c r="L196" i="17"/>
  <c r="O196" i="17" s="1"/>
  <c r="P196" i="17"/>
  <c r="I198" i="17"/>
  <c r="K198" i="17" s="1"/>
  <c r="J199" i="17"/>
  <c r="J202" i="17"/>
  <c r="N203" i="17"/>
  <c r="P203" i="17"/>
  <c r="L204" i="17"/>
  <c r="L205" i="17"/>
  <c r="L206" i="17"/>
  <c r="L207" i="17"/>
  <c r="I209" i="17"/>
  <c r="K209" i="17" s="1"/>
  <c r="I211" i="17"/>
  <c r="K211" i="17" s="1"/>
  <c r="I212" i="17"/>
  <c r="K212" i="17" s="1"/>
  <c r="J213" i="17"/>
  <c r="N214" i="17"/>
  <c r="P214" i="17"/>
  <c r="L215" i="17"/>
  <c r="L216" i="17"/>
  <c r="L217" i="17"/>
  <c r="I219" i="17"/>
  <c r="K219" i="17" s="1"/>
  <c r="I220" i="17"/>
  <c r="I213" i="17" s="1"/>
  <c r="J221" i="17"/>
  <c r="N222" i="17"/>
  <c r="P222" i="17"/>
  <c r="L223" i="17"/>
  <c r="L224" i="17"/>
  <c r="L225" i="17"/>
  <c r="I228" i="17"/>
  <c r="K228" i="17" s="1"/>
  <c r="I229" i="17"/>
  <c r="I221" i="17" s="1"/>
  <c r="I230" i="17"/>
  <c r="K230" i="17" s="1"/>
  <c r="N233" i="17"/>
  <c r="N234" i="17"/>
  <c r="N235" i="17"/>
  <c r="N236" i="17"/>
  <c r="J238" i="17"/>
  <c r="I240" i="17"/>
  <c r="K240" i="17" s="1"/>
  <c r="J240" i="17"/>
  <c r="I241" i="17"/>
  <c r="K241" i="17" s="1"/>
  <c r="J241" i="17"/>
  <c r="J242" i="17"/>
  <c r="N243" i="17"/>
  <c r="P243" i="17"/>
  <c r="L244" i="17"/>
  <c r="L245" i="17"/>
  <c r="L246" i="17"/>
  <c r="L247" i="17"/>
  <c r="I249" i="17"/>
  <c r="I242" i="17" s="1"/>
  <c r="K251" i="17"/>
  <c r="K252" i="17"/>
  <c r="J253" i="17"/>
  <c r="J231" i="17" s="1"/>
  <c r="J185" i="17" s="1"/>
  <c r="N254" i="17"/>
  <c r="P254" i="17"/>
  <c r="L255" i="17"/>
  <c r="L256" i="17"/>
  <c r="L257" i="17"/>
  <c r="L258" i="17"/>
  <c r="I260" i="17"/>
  <c r="K260" i="17" s="1"/>
  <c r="K262" i="17"/>
  <c r="K263" i="17"/>
  <c r="I265" i="17"/>
  <c r="K265" i="17" s="1"/>
  <c r="J265" i="17"/>
  <c r="L267" i="17"/>
  <c r="O267" i="17" s="1"/>
  <c r="M267" i="17"/>
  <c r="P267" i="17" s="1"/>
  <c r="N267" i="17"/>
  <c r="O270" i="17"/>
  <c r="P270" i="17"/>
  <c r="L271" i="17"/>
  <c r="L269" i="17" s="1"/>
  <c r="O269" i="17" s="1"/>
  <c r="M271" i="17"/>
  <c r="M269" i="17" s="1"/>
  <c r="P269" i="17" s="1"/>
  <c r="N271" i="17"/>
  <c r="N269" i="17" s="1"/>
  <c r="O273" i="17"/>
  <c r="P273" i="17"/>
  <c r="L274" i="17"/>
  <c r="O274" i="17" s="1"/>
  <c r="M274" i="17"/>
  <c r="M272" i="17" s="1"/>
  <c r="P272" i="17" s="1"/>
  <c r="N274" i="17"/>
  <c r="N272" i="17" s="1"/>
  <c r="J281" i="17"/>
  <c r="L283" i="17"/>
  <c r="O283" i="17" s="1"/>
  <c r="M283" i="17"/>
  <c r="N283" i="17"/>
  <c r="P283" i="17"/>
  <c r="O286" i="17"/>
  <c r="P286" i="17"/>
  <c r="L287" i="17"/>
  <c r="O287" i="17" s="1"/>
  <c r="M287" i="17"/>
  <c r="P287" i="17" s="1"/>
  <c r="N287" i="17"/>
  <c r="O289" i="17"/>
  <c r="P289" i="17"/>
  <c r="L290" i="17"/>
  <c r="O290" i="17" s="1"/>
  <c r="M290" i="17"/>
  <c r="P290" i="17" s="1"/>
  <c r="N290" i="17"/>
  <c r="N288" i="17" s="1"/>
  <c r="I292" i="17"/>
  <c r="K292" i="17" s="1"/>
  <c r="I293" i="17"/>
  <c r="K293" i="17" s="1"/>
  <c r="J293" i="17"/>
  <c r="J280" i="17" s="1"/>
  <c r="I295" i="17"/>
  <c r="K295" i="17" s="1"/>
  <c r="I296" i="17"/>
  <c r="K296" i="17" s="1"/>
  <c r="J302" i="17"/>
  <c r="L304" i="17"/>
  <c r="O304" i="17" s="1"/>
  <c r="M304" i="17"/>
  <c r="N304" i="17"/>
  <c r="O307" i="17"/>
  <c r="P307" i="17"/>
  <c r="L308" i="17"/>
  <c r="L306" i="17" s="1"/>
  <c r="O306" i="17" s="1"/>
  <c r="M308" i="17"/>
  <c r="M306" i="17" s="1"/>
  <c r="P306" i="17" s="1"/>
  <c r="N308" i="17"/>
  <c r="O310" i="17"/>
  <c r="P310" i="17"/>
  <c r="L311" i="17"/>
  <c r="L309" i="17" s="1"/>
  <c r="O309" i="17" s="1"/>
  <c r="M311" i="17"/>
  <c r="M309" i="17" s="1"/>
  <c r="P309" i="17" s="1"/>
  <c r="N311" i="17"/>
  <c r="N309" i="17" s="1"/>
  <c r="I314" i="17"/>
  <c r="K314" i="17" s="1"/>
  <c r="I315" i="17"/>
  <c r="K315" i="17" s="1"/>
  <c r="I316" i="17"/>
  <c r="K316" i="17" s="1"/>
  <c r="I317" i="17"/>
  <c r="K317" i="17" s="1"/>
  <c r="J319" i="17"/>
  <c r="L321" i="17"/>
  <c r="O321" i="17" s="1"/>
  <c r="M321" i="17"/>
  <c r="P321" i="17" s="1"/>
  <c r="N321" i="17"/>
  <c r="O324" i="17"/>
  <c r="P324" i="17"/>
  <c r="L325" i="17"/>
  <c r="M325" i="17"/>
  <c r="P325" i="17" s="1"/>
  <c r="N325" i="17"/>
  <c r="N323" i="17" s="1"/>
  <c r="O327" i="17"/>
  <c r="P327" i="17"/>
  <c r="L328" i="17"/>
  <c r="O328" i="17" s="1"/>
  <c r="M328" i="17"/>
  <c r="P328" i="17" s="1"/>
  <c r="N328" i="17"/>
  <c r="N326" i="17" s="1"/>
  <c r="I330" i="17"/>
  <c r="K330" i="17" s="1"/>
  <c r="L334" i="17"/>
  <c r="O334" i="17" s="1"/>
  <c r="M334" i="17"/>
  <c r="N334" i="17"/>
  <c r="P334" i="17"/>
  <c r="O337" i="17"/>
  <c r="P337" i="17"/>
  <c r="L338" i="17"/>
  <c r="L336" i="17" s="1"/>
  <c r="M338" i="17"/>
  <c r="M336" i="17" s="1"/>
  <c r="N338" i="17"/>
  <c r="O340" i="17"/>
  <c r="P340" i="17"/>
  <c r="L341" i="17"/>
  <c r="L339" i="17" s="1"/>
  <c r="O339" i="17" s="1"/>
  <c r="M341" i="17"/>
  <c r="M339" i="17" s="1"/>
  <c r="P339" i="17" s="1"/>
  <c r="N341" i="17"/>
  <c r="N339" i="17" s="1"/>
  <c r="I344" i="17"/>
  <c r="I332" i="17" s="1"/>
  <c r="J344" i="17"/>
  <c r="I346" i="17"/>
  <c r="J346" i="17"/>
  <c r="J347" i="17"/>
  <c r="J348" i="17"/>
  <c r="J349" i="17"/>
  <c r="D350" i="17"/>
  <c r="J352" i="17"/>
  <c r="J353" i="17"/>
  <c r="D354" i="17"/>
  <c r="L357" i="17"/>
  <c r="M357" i="17"/>
  <c r="P357" i="17" s="1"/>
  <c r="N357" i="17"/>
  <c r="O357" i="17"/>
  <c r="O360" i="17"/>
  <c r="P360" i="17"/>
  <c r="L361" i="17"/>
  <c r="L359" i="17" s="1"/>
  <c r="M361" i="17"/>
  <c r="M359" i="17" s="1"/>
  <c r="N361" i="17"/>
  <c r="N359" i="17" s="1"/>
  <c r="O363" i="17"/>
  <c r="P363" i="17"/>
  <c r="L364" i="17"/>
  <c r="L362" i="17" s="1"/>
  <c r="O362" i="17" s="1"/>
  <c r="M364" i="17"/>
  <c r="M362" i="17" s="1"/>
  <c r="P362" i="17" s="1"/>
  <c r="N364" i="17"/>
  <c r="N362" i="17" s="1"/>
  <c r="J367" i="17"/>
  <c r="K367" i="17"/>
  <c r="I368" i="17"/>
  <c r="J368" i="17"/>
  <c r="I369" i="17"/>
  <c r="J369" i="17"/>
  <c r="J370" i="17"/>
  <c r="K370" i="17"/>
  <c r="I371" i="17"/>
  <c r="I365" i="17" s="1"/>
  <c r="J371" i="17"/>
  <c r="J365" i="17" s="1"/>
  <c r="J372" i="17"/>
  <c r="K372" i="17"/>
  <c r="D373" i="17"/>
  <c r="I376" i="17"/>
  <c r="K376" i="17" s="1"/>
  <c r="J376" i="17"/>
  <c r="L378" i="17"/>
  <c r="M378" i="17"/>
  <c r="P378" i="17" s="1"/>
  <c r="N378" i="17"/>
  <c r="O378" i="17"/>
  <c r="O381" i="17"/>
  <c r="P381" i="17"/>
  <c r="L382" i="17"/>
  <c r="L380" i="17" s="1"/>
  <c r="O380" i="17" s="1"/>
  <c r="M382" i="17"/>
  <c r="M380" i="17" s="1"/>
  <c r="P380" i="17" s="1"/>
  <c r="N382" i="17"/>
  <c r="N380" i="17" s="1"/>
  <c r="O384" i="17"/>
  <c r="P384" i="17"/>
  <c r="L385" i="17"/>
  <c r="L383" i="17" s="1"/>
  <c r="O383" i="17" s="1"/>
  <c r="M385" i="17"/>
  <c r="M383" i="17" s="1"/>
  <c r="P383" i="17" s="1"/>
  <c r="N385" i="17"/>
  <c r="N383" i="17" s="1"/>
  <c r="K387" i="17"/>
  <c r="K388" i="17"/>
  <c r="A391" i="17"/>
  <c r="L22" i="16"/>
  <c r="O22" i="16" s="1"/>
  <c r="M22" i="16"/>
  <c r="N22" i="16"/>
  <c r="L25" i="16"/>
  <c r="M25" i="16"/>
  <c r="P25" i="16" s="1"/>
  <c r="N25" i="16"/>
  <c r="L45" i="16"/>
  <c r="M45" i="16"/>
  <c r="N45" i="16"/>
  <c r="P45" i="16"/>
  <c r="O48" i="16"/>
  <c r="P48" i="16"/>
  <c r="L49" i="16"/>
  <c r="M49" i="16"/>
  <c r="N49" i="16"/>
  <c r="N47" i="16" s="1"/>
  <c r="O51" i="16"/>
  <c r="P51" i="16"/>
  <c r="L52" i="16"/>
  <c r="L50" i="16" s="1"/>
  <c r="O50" i="16" s="1"/>
  <c r="M52" i="16"/>
  <c r="N52" i="16"/>
  <c r="L60" i="16"/>
  <c r="O60" i="16" s="1"/>
  <c r="M60" i="16"/>
  <c r="P60" i="16" s="1"/>
  <c r="N60" i="16"/>
  <c r="O63" i="16"/>
  <c r="P63" i="16"/>
  <c r="L64" i="16"/>
  <c r="L62" i="16" s="1"/>
  <c r="M64" i="16"/>
  <c r="M62" i="16" s="1"/>
  <c r="N64" i="16"/>
  <c r="N62" i="16" s="1"/>
  <c r="O66" i="16"/>
  <c r="P66" i="16"/>
  <c r="L67" i="16"/>
  <c r="O67" i="16" s="1"/>
  <c r="M67" i="16"/>
  <c r="M65" i="16" s="1"/>
  <c r="P65" i="16" s="1"/>
  <c r="N67" i="16"/>
  <c r="N65" i="16" s="1"/>
  <c r="J70" i="16"/>
  <c r="L73" i="16"/>
  <c r="O73" i="16" s="1"/>
  <c r="M73" i="16"/>
  <c r="P73" i="16" s="1"/>
  <c r="N73" i="16"/>
  <c r="O76" i="16"/>
  <c r="P76" i="16"/>
  <c r="L77" i="16"/>
  <c r="L75" i="16" s="1"/>
  <c r="O75" i="16" s="1"/>
  <c r="M77" i="16"/>
  <c r="N77" i="16"/>
  <c r="N75" i="16" s="1"/>
  <c r="O79" i="16"/>
  <c r="P79" i="16"/>
  <c r="L80" i="16"/>
  <c r="M80" i="16"/>
  <c r="N80" i="16"/>
  <c r="N78" i="16" s="1"/>
  <c r="J82" i="16"/>
  <c r="J83" i="16"/>
  <c r="J71" i="16" s="1"/>
  <c r="I84" i="16"/>
  <c r="K84" i="16" s="1"/>
  <c r="I85" i="16"/>
  <c r="K85" i="16" s="1"/>
  <c r="I86" i="16"/>
  <c r="K86" i="16" s="1"/>
  <c r="I87" i="16"/>
  <c r="K87" i="16" s="1"/>
  <c r="I88" i="16"/>
  <c r="K88" i="16" s="1"/>
  <c r="I89" i="16"/>
  <c r="K89" i="16" s="1"/>
  <c r="I90" i="16"/>
  <c r="K90" i="16" s="1"/>
  <c r="J92" i="16"/>
  <c r="J93" i="16"/>
  <c r="L95" i="16"/>
  <c r="M95" i="16"/>
  <c r="P95" i="16" s="1"/>
  <c r="N95" i="16"/>
  <c r="O95" i="16"/>
  <c r="O98" i="16"/>
  <c r="P98" i="16"/>
  <c r="L99" i="16"/>
  <c r="L97" i="16" s="1"/>
  <c r="O97" i="16" s="1"/>
  <c r="M99" i="16"/>
  <c r="N99" i="16"/>
  <c r="O101" i="16"/>
  <c r="P101" i="16"/>
  <c r="L102" i="16"/>
  <c r="L100" i="16" s="1"/>
  <c r="O100" i="16" s="1"/>
  <c r="M102" i="16"/>
  <c r="M100" i="16" s="1"/>
  <c r="P100" i="16" s="1"/>
  <c r="N102" i="16"/>
  <c r="N100" i="16" s="1"/>
  <c r="I108" i="16"/>
  <c r="I109" i="16"/>
  <c r="I93" i="16" s="1"/>
  <c r="K93" i="16" s="1"/>
  <c r="I117" i="16"/>
  <c r="K117" i="16" s="1"/>
  <c r="L126" i="16"/>
  <c r="M126" i="16"/>
  <c r="P126" i="16" s="1"/>
  <c r="N126" i="16"/>
  <c r="O129" i="16"/>
  <c r="P129" i="16"/>
  <c r="L130" i="16"/>
  <c r="L128" i="16" s="1"/>
  <c r="O128" i="16" s="1"/>
  <c r="M130" i="16"/>
  <c r="P130" i="16" s="1"/>
  <c r="N130" i="16"/>
  <c r="N128" i="16" s="1"/>
  <c r="O132" i="16"/>
  <c r="P132" i="16"/>
  <c r="L133" i="16"/>
  <c r="O133" i="16" s="1"/>
  <c r="M133" i="16"/>
  <c r="P133" i="16" s="1"/>
  <c r="N133" i="16"/>
  <c r="N131" i="16" s="1"/>
  <c r="J136" i="16"/>
  <c r="J137" i="16"/>
  <c r="J138" i="16"/>
  <c r="L140" i="16"/>
  <c r="M140" i="16"/>
  <c r="N140" i="16"/>
  <c r="P140" i="16"/>
  <c r="O143" i="16"/>
  <c r="P143" i="16"/>
  <c r="L144" i="16"/>
  <c r="M144" i="16"/>
  <c r="P144" i="16" s="1"/>
  <c r="N144" i="16"/>
  <c r="O146" i="16"/>
  <c r="P146" i="16"/>
  <c r="L147" i="16"/>
  <c r="L145" i="16" s="1"/>
  <c r="O145" i="16" s="1"/>
  <c r="M147" i="16"/>
  <c r="P147" i="16" s="1"/>
  <c r="N147" i="16"/>
  <c r="N145" i="16" s="1"/>
  <c r="I150" i="16"/>
  <c r="K150" i="16" s="1"/>
  <c r="I151" i="16"/>
  <c r="K151" i="16" s="1"/>
  <c r="I152" i="16"/>
  <c r="I153" i="16"/>
  <c r="K153" i="16" s="1"/>
  <c r="I154" i="16"/>
  <c r="K154" i="16" s="1"/>
  <c r="J156" i="16"/>
  <c r="L158" i="16"/>
  <c r="O158" i="16" s="1"/>
  <c r="M158" i="16"/>
  <c r="P158" i="16" s="1"/>
  <c r="N158" i="16"/>
  <c r="O161" i="16"/>
  <c r="P161" i="16"/>
  <c r="L162" i="16"/>
  <c r="L160" i="16" s="1"/>
  <c r="O160" i="16" s="1"/>
  <c r="M162" i="16"/>
  <c r="N162" i="16"/>
  <c r="O164" i="16"/>
  <c r="P164" i="16"/>
  <c r="L165" i="16"/>
  <c r="L163" i="16" s="1"/>
  <c r="O163" i="16" s="1"/>
  <c r="M165" i="16"/>
  <c r="N165" i="16"/>
  <c r="N163" i="16" s="1"/>
  <c r="I167" i="16"/>
  <c r="K167" i="16" s="1"/>
  <c r="I168" i="16"/>
  <c r="K168" i="16" s="1"/>
  <c r="I169" i="16"/>
  <c r="K169" i="16" s="1"/>
  <c r="J172" i="16"/>
  <c r="L174" i="16"/>
  <c r="O174" i="16" s="1"/>
  <c r="M174" i="16"/>
  <c r="P174" i="16" s="1"/>
  <c r="N174" i="16"/>
  <c r="O177" i="16"/>
  <c r="P177" i="16"/>
  <c r="L178" i="16"/>
  <c r="M178" i="16"/>
  <c r="N178" i="16"/>
  <c r="N176" i="16" s="1"/>
  <c r="O180" i="16"/>
  <c r="P180" i="16"/>
  <c r="L181" i="16"/>
  <c r="O181" i="16" s="1"/>
  <c r="M181" i="16"/>
  <c r="P181" i="16" s="1"/>
  <c r="N181" i="16"/>
  <c r="N179" i="16" s="1"/>
  <c r="I183" i="16"/>
  <c r="I172" i="16" s="1"/>
  <c r="K172" i="16" s="1"/>
  <c r="K184" i="16"/>
  <c r="L187" i="16"/>
  <c r="M187" i="16"/>
  <c r="P187" i="16" s="1"/>
  <c r="N187" i="16"/>
  <c r="O187" i="16"/>
  <c r="O190" i="16"/>
  <c r="P190" i="16"/>
  <c r="L191" i="16"/>
  <c r="M191" i="16"/>
  <c r="N191" i="16"/>
  <c r="N189" i="16" s="1"/>
  <c r="O193" i="16"/>
  <c r="P193" i="16"/>
  <c r="L194" i="16"/>
  <c r="O194" i="16" s="1"/>
  <c r="M194" i="16"/>
  <c r="M192" i="16" s="1"/>
  <c r="P192" i="16" s="1"/>
  <c r="N194" i="16"/>
  <c r="N192" i="16" s="1"/>
  <c r="J195" i="16"/>
  <c r="L196" i="16"/>
  <c r="O196" i="16" s="1"/>
  <c r="P196" i="16"/>
  <c r="I198" i="16"/>
  <c r="I195" i="16" s="1"/>
  <c r="K195" i="16" s="1"/>
  <c r="J199" i="16"/>
  <c r="J202" i="16"/>
  <c r="N203" i="16"/>
  <c r="P203" i="16"/>
  <c r="L204" i="16"/>
  <c r="L205" i="16"/>
  <c r="L206" i="16"/>
  <c r="L207" i="16"/>
  <c r="I209" i="16"/>
  <c r="I202" i="16" s="1"/>
  <c r="K202" i="16" s="1"/>
  <c r="I211" i="16"/>
  <c r="K211" i="16" s="1"/>
  <c r="I212" i="16"/>
  <c r="K212" i="16" s="1"/>
  <c r="J213" i="16"/>
  <c r="N214" i="16"/>
  <c r="P214" i="16"/>
  <c r="L215" i="16"/>
  <c r="L216" i="16"/>
  <c r="L217" i="16"/>
  <c r="I219" i="16"/>
  <c r="K219" i="16" s="1"/>
  <c r="I220" i="16"/>
  <c r="I213" i="16" s="1"/>
  <c r="K213" i="16" s="1"/>
  <c r="J221" i="16"/>
  <c r="N222" i="16"/>
  <c r="P222" i="16"/>
  <c r="L223" i="16"/>
  <c r="L224" i="16"/>
  <c r="L225" i="16"/>
  <c r="I228" i="16"/>
  <c r="K228" i="16" s="1"/>
  <c r="I229" i="16"/>
  <c r="I230" i="16"/>
  <c r="K230" i="16" s="1"/>
  <c r="N232" i="16"/>
  <c r="N233" i="16"/>
  <c r="N234" i="16"/>
  <c r="N235" i="16"/>
  <c r="N236" i="16"/>
  <c r="J238" i="16"/>
  <c r="I240" i="16"/>
  <c r="K240" i="16" s="1"/>
  <c r="J240" i="16"/>
  <c r="I241" i="16"/>
  <c r="K241" i="16" s="1"/>
  <c r="J241" i="16"/>
  <c r="J242" i="16"/>
  <c r="N243" i="16"/>
  <c r="P243" i="16"/>
  <c r="L244" i="16"/>
  <c r="L245" i="16"/>
  <c r="L246" i="16"/>
  <c r="L247" i="16"/>
  <c r="I249" i="16"/>
  <c r="I242" i="16" s="1"/>
  <c r="K251" i="16"/>
  <c r="K252" i="16"/>
  <c r="J253" i="16"/>
  <c r="N254" i="16"/>
  <c r="P254" i="16"/>
  <c r="L255" i="16"/>
  <c r="L256" i="16"/>
  <c r="L257" i="16"/>
  <c r="L258" i="16"/>
  <c r="I260" i="16"/>
  <c r="I253" i="16" s="1"/>
  <c r="K253" i="16" s="1"/>
  <c r="K262" i="16"/>
  <c r="K263" i="16"/>
  <c r="I265" i="16"/>
  <c r="K265" i="16" s="1"/>
  <c r="J265" i="16"/>
  <c r="L267" i="16"/>
  <c r="M267" i="16"/>
  <c r="P267" i="16" s="1"/>
  <c r="N267" i="16"/>
  <c r="O267" i="16"/>
  <c r="O270" i="16"/>
  <c r="P270" i="16"/>
  <c r="L271" i="16"/>
  <c r="L269" i="16" s="1"/>
  <c r="O269" i="16" s="1"/>
  <c r="M271" i="16"/>
  <c r="N271" i="16"/>
  <c r="N269" i="16" s="1"/>
  <c r="O273" i="16"/>
  <c r="P273" i="16"/>
  <c r="L274" i="16"/>
  <c r="M274" i="16"/>
  <c r="M272" i="16" s="1"/>
  <c r="P272" i="16" s="1"/>
  <c r="N274" i="16"/>
  <c r="N272" i="16" s="1"/>
  <c r="J281" i="16"/>
  <c r="L283" i="16"/>
  <c r="O283" i="16" s="1"/>
  <c r="M283" i="16"/>
  <c r="N283" i="16"/>
  <c r="P283" i="16"/>
  <c r="O286" i="16"/>
  <c r="P286" i="16"/>
  <c r="L287" i="16"/>
  <c r="M287" i="16"/>
  <c r="N287" i="16"/>
  <c r="N285" i="16" s="1"/>
  <c r="O289" i="16"/>
  <c r="P289" i="16"/>
  <c r="L290" i="16"/>
  <c r="O290" i="16" s="1"/>
  <c r="M290" i="16"/>
  <c r="P290" i="16" s="1"/>
  <c r="N290" i="16"/>
  <c r="I292" i="16"/>
  <c r="I281" i="16" s="1"/>
  <c r="I293" i="16"/>
  <c r="K293" i="16" s="1"/>
  <c r="J293" i="16"/>
  <c r="J280" i="16" s="1"/>
  <c r="I295" i="16"/>
  <c r="K295" i="16" s="1"/>
  <c r="I296" i="16"/>
  <c r="K296" i="16" s="1"/>
  <c r="J302" i="16"/>
  <c r="L304" i="16"/>
  <c r="O304" i="16" s="1"/>
  <c r="M304" i="16"/>
  <c r="P304" i="16" s="1"/>
  <c r="N304" i="16"/>
  <c r="O307" i="16"/>
  <c r="P307" i="16"/>
  <c r="L308" i="16"/>
  <c r="L306" i="16" s="1"/>
  <c r="M308" i="16"/>
  <c r="N308" i="16"/>
  <c r="N306" i="16" s="1"/>
  <c r="O310" i="16"/>
  <c r="P310" i="16"/>
  <c r="L311" i="16"/>
  <c r="L309" i="16" s="1"/>
  <c r="O309" i="16" s="1"/>
  <c r="M311" i="16"/>
  <c r="M309" i="16" s="1"/>
  <c r="P309" i="16" s="1"/>
  <c r="N311" i="16"/>
  <c r="N309" i="16" s="1"/>
  <c r="I314" i="16"/>
  <c r="K314" i="16" s="1"/>
  <c r="I315" i="16"/>
  <c r="K315" i="16" s="1"/>
  <c r="I316" i="16"/>
  <c r="K316" i="16" s="1"/>
  <c r="I317" i="16"/>
  <c r="K317" i="16" s="1"/>
  <c r="J319" i="16"/>
  <c r="L321" i="16"/>
  <c r="M321" i="16"/>
  <c r="P321" i="16" s="1"/>
  <c r="N321" i="16"/>
  <c r="O321" i="16"/>
  <c r="O324" i="16"/>
  <c r="P324" i="16"/>
  <c r="L325" i="16"/>
  <c r="L323" i="16" s="1"/>
  <c r="O323" i="16" s="1"/>
  <c r="M325" i="16"/>
  <c r="M323" i="16" s="1"/>
  <c r="P323" i="16" s="1"/>
  <c r="N325" i="16"/>
  <c r="N323" i="16" s="1"/>
  <c r="O327" i="16"/>
  <c r="P327" i="16"/>
  <c r="L328" i="16"/>
  <c r="L326" i="16" s="1"/>
  <c r="O326" i="16" s="1"/>
  <c r="M328" i="16"/>
  <c r="N328" i="16"/>
  <c r="N326" i="16" s="1"/>
  <c r="I330" i="16"/>
  <c r="I319" i="16" s="1"/>
  <c r="K319" i="16" s="1"/>
  <c r="L334" i="16"/>
  <c r="O334" i="16" s="1"/>
  <c r="M334" i="16"/>
  <c r="P334" i="16" s="1"/>
  <c r="N334" i="16"/>
  <c r="O337" i="16"/>
  <c r="P337" i="16"/>
  <c r="L338" i="16"/>
  <c r="M338" i="16"/>
  <c r="N338" i="16"/>
  <c r="O340" i="16"/>
  <c r="P340" i="16"/>
  <c r="L341" i="16"/>
  <c r="L339" i="16" s="1"/>
  <c r="O339" i="16" s="1"/>
  <c r="M341" i="16"/>
  <c r="P341" i="16" s="1"/>
  <c r="N341" i="16"/>
  <c r="N339" i="16" s="1"/>
  <c r="I344" i="16"/>
  <c r="J344" i="16"/>
  <c r="I346" i="16"/>
  <c r="J346" i="16"/>
  <c r="J347" i="16"/>
  <c r="J348" i="16"/>
  <c r="J349" i="16"/>
  <c r="D350" i="16"/>
  <c r="J352" i="16"/>
  <c r="J353" i="16"/>
  <c r="D354" i="16"/>
  <c r="L357" i="16"/>
  <c r="O357" i="16" s="1"/>
  <c r="M357" i="16"/>
  <c r="P357" i="16" s="1"/>
  <c r="N357" i="16"/>
  <c r="O360" i="16"/>
  <c r="P360" i="16"/>
  <c r="L361" i="16"/>
  <c r="M361" i="16"/>
  <c r="N361" i="16"/>
  <c r="N359" i="16" s="1"/>
  <c r="O363" i="16"/>
  <c r="P363" i="16"/>
  <c r="L364" i="16"/>
  <c r="M364" i="16"/>
  <c r="P364" i="16" s="1"/>
  <c r="N364" i="16"/>
  <c r="N362" i="16" s="1"/>
  <c r="J367" i="16"/>
  <c r="K367" i="16"/>
  <c r="I368" i="16"/>
  <c r="J368" i="16"/>
  <c r="I369" i="16"/>
  <c r="J369" i="16"/>
  <c r="J370" i="16"/>
  <c r="K370" i="16"/>
  <c r="I371" i="16"/>
  <c r="I365" i="16" s="1"/>
  <c r="J371" i="16"/>
  <c r="J365" i="16" s="1"/>
  <c r="J372" i="16"/>
  <c r="K372" i="16"/>
  <c r="D373" i="16"/>
  <c r="I376" i="16"/>
  <c r="J376" i="16"/>
  <c r="K376" i="16"/>
  <c r="L378" i="16"/>
  <c r="O378" i="16" s="1"/>
  <c r="M378" i="16"/>
  <c r="N378" i="16"/>
  <c r="O381" i="16"/>
  <c r="P381" i="16"/>
  <c r="L382" i="16"/>
  <c r="O382" i="16" s="1"/>
  <c r="M382" i="16"/>
  <c r="P382" i="16" s="1"/>
  <c r="N382" i="16"/>
  <c r="O384" i="16"/>
  <c r="P384" i="16"/>
  <c r="L385" i="16"/>
  <c r="O385" i="16" s="1"/>
  <c r="M385" i="16"/>
  <c r="P385" i="16" s="1"/>
  <c r="N385" i="16"/>
  <c r="N383" i="16" s="1"/>
  <c r="K387" i="16"/>
  <c r="K388" i="16"/>
  <c r="A391" i="16"/>
  <c r="L22" i="15"/>
  <c r="O22" i="15" s="1"/>
  <c r="M22" i="15"/>
  <c r="N22" i="15"/>
  <c r="L25" i="15"/>
  <c r="O25" i="15" s="1"/>
  <c r="M25" i="15"/>
  <c r="P25" i="15" s="1"/>
  <c r="N25" i="15"/>
  <c r="L45" i="15"/>
  <c r="O45" i="15" s="1"/>
  <c r="M45" i="15"/>
  <c r="P45" i="15" s="1"/>
  <c r="N45" i="15"/>
  <c r="O48" i="15"/>
  <c r="P48" i="15"/>
  <c r="L49" i="15"/>
  <c r="L47" i="15" s="1"/>
  <c r="M49" i="15"/>
  <c r="M47" i="15" s="1"/>
  <c r="N49" i="15"/>
  <c r="N47" i="15" s="1"/>
  <c r="O51" i="15"/>
  <c r="P51" i="15"/>
  <c r="L52" i="15"/>
  <c r="L50" i="15" s="1"/>
  <c r="O50" i="15" s="1"/>
  <c r="M52" i="15"/>
  <c r="M50" i="15" s="1"/>
  <c r="P50" i="15" s="1"/>
  <c r="N52" i="15"/>
  <c r="L60" i="15"/>
  <c r="M60" i="15"/>
  <c r="N60" i="15"/>
  <c r="O60" i="15"/>
  <c r="O63" i="15"/>
  <c r="P63" i="15"/>
  <c r="L64" i="15"/>
  <c r="L62" i="15" s="1"/>
  <c r="M64" i="15"/>
  <c r="M62" i="15" s="1"/>
  <c r="N64" i="15"/>
  <c r="O66" i="15"/>
  <c r="P66" i="15"/>
  <c r="L67" i="15"/>
  <c r="O67" i="15" s="1"/>
  <c r="M67" i="15"/>
  <c r="M65" i="15" s="1"/>
  <c r="P65" i="15" s="1"/>
  <c r="N67" i="15"/>
  <c r="N65" i="15" s="1"/>
  <c r="L73" i="15"/>
  <c r="O73" i="15" s="1"/>
  <c r="M73" i="15"/>
  <c r="P73" i="15" s="1"/>
  <c r="N73" i="15"/>
  <c r="O76" i="15"/>
  <c r="P76" i="15"/>
  <c r="L77" i="15"/>
  <c r="L75" i="15" s="1"/>
  <c r="O75" i="15" s="1"/>
  <c r="M77" i="15"/>
  <c r="M75" i="15" s="1"/>
  <c r="P75" i="15" s="1"/>
  <c r="N77" i="15"/>
  <c r="N75" i="15" s="1"/>
  <c r="O79" i="15"/>
  <c r="P79" i="15"/>
  <c r="L80" i="15"/>
  <c r="L78" i="15" s="1"/>
  <c r="O78" i="15" s="1"/>
  <c r="M80" i="15"/>
  <c r="M78" i="15" s="1"/>
  <c r="P78" i="15" s="1"/>
  <c r="N80" i="15"/>
  <c r="N78" i="15" s="1"/>
  <c r="J82" i="15"/>
  <c r="J70" i="15" s="1"/>
  <c r="J83" i="15"/>
  <c r="J71" i="15" s="1"/>
  <c r="I84" i="15"/>
  <c r="K84" i="15" s="1"/>
  <c r="I85" i="15"/>
  <c r="K85" i="15" s="1"/>
  <c r="I86" i="15"/>
  <c r="K86" i="15" s="1"/>
  <c r="I87" i="15"/>
  <c r="K87" i="15" s="1"/>
  <c r="I88" i="15"/>
  <c r="K88" i="15" s="1"/>
  <c r="I89" i="15"/>
  <c r="K89" i="15" s="1"/>
  <c r="I90" i="15"/>
  <c r="K90" i="15" s="1"/>
  <c r="J92" i="15"/>
  <c r="J93" i="15"/>
  <c r="L95" i="15"/>
  <c r="O95" i="15" s="1"/>
  <c r="M95" i="15"/>
  <c r="P95" i="15" s="1"/>
  <c r="N95" i="15"/>
  <c r="O98" i="15"/>
  <c r="P98" i="15"/>
  <c r="L99" i="15"/>
  <c r="L97" i="15" s="1"/>
  <c r="O97" i="15" s="1"/>
  <c r="M99" i="15"/>
  <c r="M97" i="15" s="1"/>
  <c r="P97" i="15" s="1"/>
  <c r="N99" i="15"/>
  <c r="N97" i="15" s="1"/>
  <c r="O101" i="15"/>
  <c r="P101" i="15"/>
  <c r="L102" i="15"/>
  <c r="L100" i="15" s="1"/>
  <c r="O100" i="15" s="1"/>
  <c r="M102" i="15"/>
  <c r="M100" i="15" s="1"/>
  <c r="P100" i="15" s="1"/>
  <c r="N102" i="15"/>
  <c r="N100" i="15" s="1"/>
  <c r="I108" i="15"/>
  <c r="I92" i="15" s="1"/>
  <c r="K92" i="15" s="1"/>
  <c r="I109" i="15"/>
  <c r="I93" i="15" s="1"/>
  <c r="K93" i="15" s="1"/>
  <c r="I117" i="15"/>
  <c r="K117" i="15" s="1"/>
  <c r="L126" i="15"/>
  <c r="M126" i="15"/>
  <c r="N126" i="15"/>
  <c r="P126" i="15"/>
  <c r="O129" i="15"/>
  <c r="P129" i="15"/>
  <c r="L130" i="15"/>
  <c r="L128" i="15" s="1"/>
  <c r="O128" i="15" s="1"/>
  <c r="M130" i="15"/>
  <c r="P130" i="15" s="1"/>
  <c r="N130" i="15"/>
  <c r="O132" i="15"/>
  <c r="P132" i="15"/>
  <c r="L133" i="15"/>
  <c r="L131" i="15" s="1"/>
  <c r="O131" i="15" s="1"/>
  <c r="M133" i="15"/>
  <c r="P133" i="15" s="1"/>
  <c r="N133" i="15"/>
  <c r="N131" i="15" s="1"/>
  <c r="J136" i="15"/>
  <c r="J137" i="15"/>
  <c r="J138" i="15"/>
  <c r="L140" i="15"/>
  <c r="M140" i="15"/>
  <c r="N140" i="15"/>
  <c r="P140" i="15"/>
  <c r="O143" i="15"/>
  <c r="P143" i="15"/>
  <c r="L144" i="15"/>
  <c r="L142" i="15" s="1"/>
  <c r="M144" i="15"/>
  <c r="N144" i="15"/>
  <c r="N142" i="15" s="1"/>
  <c r="O146" i="15"/>
  <c r="P146" i="15"/>
  <c r="L147" i="15"/>
  <c r="L145" i="15" s="1"/>
  <c r="O145" i="15" s="1"/>
  <c r="M147" i="15"/>
  <c r="P147" i="15" s="1"/>
  <c r="N147" i="15"/>
  <c r="N145" i="15" s="1"/>
  <c r="I150" i="15"/>
  <c r="K150" i="15" s="1"/>
  <c r="I151" i="15"/>
  <c r="K151" i="15" s="1"/>
  <c r="I152" i="15"/>
  <c r="I153" i="15"/>
  <c r="I138" i="15" s="1"/>
  <c r="K138" i="15" s="1"/>
  <c r="I154" i="15"/>
  <c r="J156" i="15"/>
  <c r="L158" i="15"/>
  <c r="O158" i="15" s="1"/>
  <c r="M158" i="15"/>
  <c r="P158" i="15" s="1"/>
  <c r="N158" i="15"/>
  <c r="O161" i="15"/>
  <c r="P161" i="15"/>
  <c r="L162" i="15"/>
  <c r="M162" i="15"/>
  <c r="M160" i="15" s="1"/>
  <c r="P160" i="15" s="1"/>
  <c r="N162" i="15"/>
  <c r="N160" i="15" s="1"/>
  <c r="O164" i="15"/>
  <c r="P164" i="15"/>
  <c r="L165" i="15"/>
  <c r="O165" i="15" s="1"/>
  <c r="M165" i="15"/>
  <c r="M163" i="15" s="1"/>
  <c r="P163" i="15" s="1"/>
  <c r="N165" i="15"/>
  <c r="N163" i="15" s="1"/>
  <c r="I167" i="15"/>
  <c r="J172" i="15"/>
  <c r="L174" i="15"/>
  <c r="O174" i="15" s="1"/>
  <c r="M174" i="15"/>
  <c r="P174" i="15" s="1"/>
  <c r="N174" i="15"/>
  <c r="O177" i="15"/>
  <c r="P177" i="15"/>
  <c r="L178" i="15"/>
  <c r="M178" i="15"/>
  <c r="M176" i="15" s="1"/>
  <c r="N178" i="15"/>
  <c r="N176" i="15" s="1"/>
  <c r="O180" i="15"/>
  <c r="P180" i="15"/>
  <c r="L181" i="15"/>
  <c r="L179" i="15" s="1"/>
  <c r="O179" i="15" s="1"/>
  <c r="M181" i="15"/>
  <c r="M179" i="15" s="1"/>
  <c r="P179" i="15" s="1"/>
  <c r="N181" i="15"/>
  <c r="N179" i="15" s="1"/>
  <c r="I183" i="15"/>
  <c r="K183" i="15" s="1"/>
  <c r="K184" i="15"/>
  <c r="L187" i="15"/>
  <c r="M187" i="15"/>
  <c r="N187" i="15"/>
  <c r="O187" i="15"/>
  <c r="P187" i="15"/>
  <c r="O190" i="15"/>
  <c r="P190" i="15"/>
  <c r="L191" i="15"/>
  <c r="L189" i="15" s="1"/>
  <c r="M191" i="15"/>
  <c r="N191" i="15"/>
  <c r="O193" i="15"/>
  <c r="P193" i="15"/>
  <c r="L194" i="15"/>
  <c r="O194" i="15" s="1"/>
  <c r="M194" i="15"/>
  <c r="M192" i="15" s="1"/>
  <c r="P192" i="15" s="1"/>
  <c r="N194" i="15"/>
  <c r="N192" i="15" s="1"/>
  <c r="J195" i="15"/>
  <c r="L196" i="15"/>
  <c r="O196" i="15" s="1"/>
  <c r="P196" i="15"/>
  <c r="I198" i="15"/>
  <c r="I195" i="15" s="1"/>
  <c r="K195" i="15" s="1"/>
  <c r="J199" i="15"/>
  <c r="J202" i="15"/>
  <c r="N203" i="15"/>
  <c r="P203" i="15"/>
  <c r="L204" i="15"/>
  <c r="L205" i="15"/>
  <c r="L206" i="15"/>
  <c r="L207" i="15"/>
  <c r="I209" i="15"/>
  <c r="I202" i="15" s="1"/>
  <c r="K202" i="15" s="1"/>
  <c r="I211" i="15"/>
  <c r="K211" i="15" s="1"/>
  <c r="I212" i="15"/>
  <c r="K212" i="15" s="1"/>
  <c r="J213" i="15"/>
  <c r="N214" i="15"/>
  <c r="P214" i="15"/>
  <c r="L215" i="15"/>
  <c r="L216" i="15"/>
  <c r="L217" i="15"/>
  <c r="I219" i="15"/>
  <c r="K219" i="15" s="1"/>
  <c r="I220" i="15"/>
  <c r="I213" i="15" s="1"/>
  <c r="K213" i="15" s="1"/>
  <c r="J221" i="15"/>
  <c r="N222" i="15"/>
  <c r="P222" i="15"/>
  <c r="L223" i="15"/>
  <c r="L224" i="15"/>
  <c r="L225" i="15"/>
  <c r="I228" i="15"/>
  <c r="K228" i="15" s="1"/>
  <c r="I229" i="15"/>
  <c r="I221" i="15" s="1"/>
  <c r="K221" i="15" s="1"/>
  <c r="I230" i="15"/>
  <c r="K230" i="15" s="1"/>
  <c r="N233" i="15"/>
  <c r="N234" i="15"/>
  <c r="N235" i="15"/>
  <c r="N236" i="15"/>
  <c r="J238" i="15"/>
  <c r="J240" i="15"/>
  <c r="J241" i="15"/>
  <c r="J242" i="15"/>
  <c r="J231" i="15" s="1"/>
  <c r="J185" i="15" s="1"/>
  <c r="N243" i="15"/>
  <c r="P243" i="15"/>
  <c r="L244" i="15"/>
  <c r="L245" i="15"/>
  <c r="L246" i="15"/>
  <c r="L247" i="15"/>
  <c r="I249" i="15"/>
  <c r="I242" i="15" s="1"/>
  <c r="I251" i="15"/>
  <c r="K251" i="15" s="1"/>
  <c r="I252" i="15"/>
  <c r="K252" i="15" s="1"/>
  <c r="J253" i="15"/>
  <c r="N254" i="15"/>
  <c r="N232" i="15" s="1"/>
  <c r="P254" i="15"/>
  <c r="L255" i="15"/>
  <c r="L256" i="15"/>
  <c r="L257" i="15"/>
  <c r="L258" i="15"/>
  <c r="I260" i="15"/>
  <c r="I253" i="15" s="1"/>
  <c r="K253" i="15" s="1"/>
  <c r="K262" i="15"/>
  <c r="K263" i="15"/>
  <c r="I265" i="15"/>
  <c r="K265" i="15" s="1"/>
  <c r="J265" i="15"/>
  <c r="L267" i="15"/>
  <c r="O267" i="15" s="1"/>
  <c r="M267" i="15"/>
  <c r="P267" i="15" s="1"/>
  <c r="N267" i="15"/>
  <c r="O270" i="15"/>
  <c r="P270" i="15"/>
  <c r="L271" i="15"/>
  <c r="L269" i="15" s="1"/>
  <c r="O269" i="15" s="1"/>
  <c r="M271" i="15"/>
  <c r="N271" i="15"/>
  <c r="N269" i="15" s="1"/>
  <c r="O273" i="15"/>
  <c r="P273" i="15"/>
  <c r="L274" i="15"/>
  <c r="L272" i="15" s="1"/>
  <c r="O272" i="15" s="1"/>
  <c r="M274" i="15"/>
  <c r="M272" i="15" s="1"/>
  <c r="P272" i="15" s="1"/>
  <c r="N274" i="15"/>
  <c r="N272" i="15" s="1"/>
  <c r="J280" i="15"/>
  <c r="J281" i="15"/>
  <c r="L283" i="15"/>
  <c r="M283" i="15"/>
  <c r="P283" i="15" s="1"/>
  <c r="N283" i="15"/>
  <c r="O283" i="15"/>
  <c r="O286" i="15"/>
  <c r="P286" i="15"/>
  <c r="L287" i="15"/>
  <c r="L285" i="15" s="1"/>
  <c r="M287" i="15"/>
  <c r="M285" i="15" s="1"/>
  <c r="N287" i="15"/>
  <c r="N285" i="15" s="1"/>
  <c r="O289" i="15"/>
  <c r="P289" i="15"/>
  <c r="L290" i="15"/>
  <c r="O290" i="15" s="1"/>
  <c r="M290" i="15"/>
  <c r="M288" i="15" s="1"/>
  <c r="P288" i="15" s="1"/>
  <c r="N290" i="15"/>
  <c r="N288" i="15" s="1"/>
  <c r="I292" i="15"/>
  <c r="I281" i="15" s="1"/>
  <c r="I293" i="15"/>
  <c r="I280" i="15" s="1"/>
  <c r="K280" i="15" s="1"/>
  <c r="J293" i="15"/>
  <c r="I295" i="15"/>
  <c r="K295" i="15" s="1"/>
  <c r="I296" i="15"/>
  <c r="K296" i="15" s="1"/>
  <c r="J302" i="15"/>
  <c r="L304" i="15"/>
  <c r="O304" i="15" s="1"/>
  <c r="M304" i="15"/>
  <c r="P304" i="15" s="1"/>
  <c r="N304" i="15"/>
  <c r="O307" i="15"/>
  <c r="P307" i="15"/>
  <c r="L308" i="15"/>
  <c r="L306" i="15" s="1"/>
  <c r="M308" i="15"/>
  <c r="N308" i="15"/>
  <c r="N306" i="15" s="1"/>
  <c r="O310" i="15"/>
  <c r="P310" i="15"/>
  <c r="L311" i="15"/>
  <c r="L309" i="15" s="1"/>
  <c r="O309" i="15" s="1"/>
  <c r="M311" i="15"/>
  <c r="P311" i="15" s="1"/>
  <c r="N311" i="15"/>
  <c r="N309" i="15" s="1"/>
  <c r="I314" i="15"/>
  <c r="I302" i="15" s="1"/>
  <c r="K302" i="15" s="1"/>
  <c r="I315" i="15"/>
  <c r="K315" i="15" s="1"/>
  <c r="I316" i="15"/>
  <c r="K316" i="15" s="1"/>
  <c r="I317" i="15"/>
  <c r="K317" i="15" s="1"/>
  <c r="J319" i="15"/>
  <c r="L321" i="15"/>
  <c r="M321" i="15"/>
  <c r="P321" i="15" s="1"/>
  <c r="N321" i="15"/>
  <c r="O324" i="15"/>
  <c r="P324" i="15"/>
  <c r="L325" i="15"/>
  <c r="O325" i="15" s="1"/>
  <c r="M325" i="15"/>
  <c r="M323" i="15" s="1"/>
  <c r="P323" i="15" s="1"/>
  <c r="N325" i="15"/>
  <c r="O327" i="15"/>
  <c r="P327" i="15"/>
  <c r="L328" i="15"/>
  <c r="O328" i="15" s="1"/>
  <c r="M328" i="15"/>
  <c r="M326" i="15" s="1"/>
  <c r="P326" i="15" s="1"/>
  <c r="N328" i="15"/>
  <c r="N326" i="15" s="1"/>
  <c r="I330" i="15"/>
  <c r="I319" i="15" s="1"/>
  <c r="K319" i="15" s="1"/>
  <c r="L334" i="15"/>
  <c r="M334" i="15"/>
  <c r="N334" i="15"/>
  <c r="O334" i="15"/>
  <c r="P334" i="15"/>
  <c r="O337" i="15"/>
  <c r="P337" i="15"/>
  <c r="L338" i="15"/>
  <c r="M338" i="15"/>
  <c r="N338" i="15"/>
  <c r="N336" i="15" s="1"/>
  <c r="O340" i="15"/>
  <c r="P340" i="15"/>
  <c r="L341" i="15"/>
  <c r="O341" i="15" s="1"/>
  <c r="M341" i="15"/>
  <c r="P341" i="15" s="1"/>
  <c r="N341" i="15"/>
  <c r="N339" i="15" s="1"/>
  <c r="I344" i="15"/>
  <c r="I332" i="15" s="1"/>
  <c r="J344" i="15"/>
  <c r="I346" i="15"/>
  <c r="J346" i="15"/>
  <c r="J347" i="15"/>
  <c r="J348" i="15"/>
  <c r="J349" i="15"/>
  <c r="D350" i="15"/>
  <c r="J352" i="15"/>
  <c r="J353" i="15"/>
  <c r="D354" i="15"/>
  <c r="L357" i="15"/>
  <c r="M357" i="15"/>
  <c r="N357" i="15"/>
  <c r="P357" i="15"/>
  <c r="O360" i="15"/>
  <c r="P360" i="15"/>
  <c r="L361" i="15"/>
  <c r="M361" i="15"/>
  <c r="N361" i="15"/>
  <c r="N359" i="15" s="1"/>
  <c r="O363" i="15"/>
  <c r="P363" i="15"/>
  <c r="L364" i="15"/>
  <c r="O364" i="15" s="1"/>
  <c r="M364" i="15"/>
  <c r="P364" i="15" s="1"/>
  <c r="N364" i="15"/>
  <c r="N362" i="15" s="1"/>
  <c r="J367" i="15"/>
  <c r="K367" i="15"/>
  <c r="I368" i="15"/>
  <c r="J368" i="15"/>
  <c r="I369" i="15"/>
  <c r="J369" i="15"/>
  <c r="J370" i="15"/>
  <c r="K370" i="15"/>
  <c r="I371" i="15"/>
  <c r="J371" i="15"/>
  <c r="J365" i="15" s="1"/>
  <c r="J372" i="15"/>
  <c r="K372" i="15"/>
  <c r="D373" i="15"/>
  <c r="I376" i="15"/>
  <c r="K376" i="15" s="1"/>
  <c r="J376" i="15"/>
  <c r="L378" i="15"/>
  <c r="M378" i="15"/>
  <c r="N378" i="15"/>
  <c r="O378" i="15"/>
  <c r="P378" i="15"/>
  <c r="O381" i="15"/>
  <c r="P381" i="15"/>
  <c r="L382" i="15"/>
  <c r="M382" i="15"/>
  <c r="N382" i="15"/>
  <c r="N380" i="15" s="1"/>
  <c r="O384" i="15"/>
  <c r="P384" i="15"/>
  <c r="L385" i="15"/>
  <c r="O385" i="15" s="1"/>
  <c r="M385" i="15"/>
  <c r="M383" i="15" s="1"/>
  <c r="P383" i="15" s="1"/>
  <c r="N385" i="15"/>
  <c r="N383" i="15" s="1"/>
  <c r="K387" i="15"/>
  <c r="K388" i="15"/>
  <c r="A391" i="15"/>
  <c r="L22" i="14"/>
  <c r="M22" i="14"/>
  <c r="M19" i="14" s="1"/>
  <c r="N22" i="14"/>
  <c r="O22" i="14"/>
  <c r="L25" i="14"/>
  <c r="O25" i="14" s="1"/>
  <c r="M25" i="14"/>
  <c r="P25" i="14" s="1"/>
  <c r="N25" i="14"/>
  <c r="N19" i="14" s="1"/>
  <c r="L45" i="14"/>
  <c r="O45" i="14" s="1"/>
  <c r="M45" i="14"/>
  <c r="P45" i="14" s="1"/>
  <c r="N45" i="14"/>
  <c r="O48" i="14"/>
  <c r="P48" i="14"/>
  <c r="L49" i="14"/>
  <c r="M49" i="14"/>
  <c r="N49" i="14"/>
  <c r="N47" i="14" s="1"/>
  <c r="O51" i="14"/>
  <c r="P51" i="14"/>
  <c r="L52" i="14"/>
  <c r="L50" i="14" s="1"/>
  <c r="O50" i="14" s="1"/>
  <c r="M52" i="14"/>
  <c r="N52" i="14"/>
  <c r="N50" i="14" s="1"/>
  <c r="L60" i="14"/>
  <c r="O60" i="14" s="1"/>
  <c r="M60" i="14"/>
  <c r="N60" i="14"/>
  <c r="O63" i="14"/>
  <c r="P63" i="14"/>
  <c r="L64" i="14"/>
  <c r="M64" i="14"/>
  <c r="M62" i="14" s="1"/>
  <c r="N64" i="14"/>
  <c r="N62" i="14" s="1"/>
  <c r="O66" i="14"/>
  <c r="P66" i="14"/>
  <c r="L67" i="14"/>
  <c r="O67" i="14" s="1"/>
  <c r="M67" i="14"/>
  <c r="M65" i="14" s="1"/>
  <c r="P65" i="14" s="1"/>
  <c r="N67" i="14"/>
  <c r="N65" i="14" s="1"/>
  <c r="J70" i="14"/>
  <c r="L73" i="14"/>
  <c r="O73" i="14" s="1"/>
  <c r="M73" i="14"/>
  <c r="P73" i="14" s="1"/>
  <c r="N73" i="14"/>
  <c r="O76" i="14"/>
  <c r="P76" i="14"/>
  <c r="L77" i="14"/>
  <c r="L75" i="14" s="1"/>
  <c r="O75" i="14" s="1"/>
  <c r="M77" i="14"/>
  <c r="N77" i="14"/>
  <c r="O79" i="14"/>
  <c r="P79" i="14"/>
  <c r="L80" i="14"/>
  <c r="L78" i="14" s="1"/>
  <c r="O78" i="14" s="1"/>
  <c r="M80" i="14"/>
  <c r="N80" i="14"/>
  <c r="N78" i="14" s="1"/>
  <c r="J82" i="14"/>
  <c r="J83" i="14"/>
  <c r="J71" i="14" s="1"/>
  <c r="I84" i="14"/>
  <c r="K84" i="14" s="1"/>
  <c r="I85" i="14"/>
  <c r="I86" i="14"/>
  <c r="K86" i="14" s="1"/>
  <c r="I87" i="14"/>
  <c r="K87" i="14" s="1"/>
  <c r="I88" i="14"/>
  <c r="K88" i="14" s="1"/>
  <c r="I89" i="14"/>
  <c r="K89" i="14" s="1"/>
  <c r="I90" i="14"/>
  <c r="K90" i="14" s="1"/>
  <c r="J92" i="14"/>
  <c r="J93" i="14"/>
  <c r="L95" i="14"/>
  <c r="O95" i="14" s="1"/>
  <c r="M95" i="14"/>
  <c r="P95" i="14" s="1"/>
  <c r="N95" i="14"/>
  <c r="O98" i="14"/>
  <c r="P98" i="14"/>
  <c r="L99" i="14"/>
  <c r="L97" i="14" s="1"/>
  <c r="O97" i="14" s="1"/>
  <c r="M99" i="14"/>
  <c r="P99" i="14" s="1"/>
  <c r="N99" i="14"/>
  <c r="O101" i="14"/>
  <c r="P101" i="14"/>
  <c r="L102" i="14"/>
  <c r="L100" i="14" s="1"/>
  <c r="O100" i="14" s="1"/>
  <c r="M102" i="14"/>
  <c r="M100" i="14" s="1"/>
  <c r="P100" i="14" s="1"/>
  <c r="N102" i="14"/>
  <c r="N100" i="14" s="1"/>
  <c r="I108" i="14"/>
  <c r="I92" i="14" s="1"/>
  <c r="K92" i="14" s="1"/>
  <c r="I109" i="14"/>
  <c r="I93" i="14" s="1"/>
  <c r="K93" i="14" s="1"/>
  <c r="I117" i="14"/>
  <c r="K117" i="14" s="1"/>
  <c r="L126" i="14"/>
  <c r="M126" i="14"/>
  <c r="N126" i="14"/>
  <c r="P126" i="14"/>
  <c r="O129" i="14"/>
  <c r="P129" i="14"/>
  <c r="L130" i="14"/>
  <c r="L128" i="14" s="1"/>
  <c r="O128" i="14" s="1"/>
  <c r="M130" i="14"/>
  <c r="M128" i="14" s="1"/>
  <c r="P128" i="14" s="1"/>
  <c r="N130" i="14"/>
  <c r="N128" i="14" s="1"/>
  <c r="O132" i="14"/>
  <c r="P132" i="14"/>
  <c r="L133" i="14"/>
  <c r="L131" i="14" s="1"/>
  <c r="O131" i="14" s="1"/>
  <c r="M133" i="14"/>
  <c r="M131" i="14" s="1"/>
  <c r="P131" i="14" s="1"/>
  <c r="N133" i="14"/>
  <c r="N131" i="14" s="1"/>
  <c r="J136" i="14"/>
  <c r="J137" i="14"/>
  <c r="J138" i="14"/>
  <c r="L140" i="14"/>
  <c r="O140" i="14" s="1"/>
  <c r="M140" i="14"/>
  <c r="N140" i="14"/>
  <c r="P140" i="14"/>
  <c r="O143" i="14"/>
  <c r="P143" i="14"/>
  <c r="L144" i="14"/>
  <c r="L142" i="14" s="1"/>
  <c r="O142" i="14" s="1"/>
  <c r="M144" i="14"/>
  <c r="N144" i="14"/>
  <c r="O146" i="14"/>
  <c r="P146" i="14"/>
  <c r="L147" i="14"/>
  <c r="L145" i="14" s="1"/>
  <c r="O145" i="14" s="1"/>
  <c r="M147" i="14"/>
  <c r="M145" i="14" s="1"/>
  <c r="P145" i="14" s="1"/>
  <c r="N147" i="14"/>
  <c r="N145" i="14" s="1"/>
  <c r="I150" i="14"/>
  <c r="K150" i="14" s="1"/>
  <c r="I151" i="14"/>
  <c r="K151" i="14" s="1"/>
  <c r="I152" i="14"/>
  <c r="I137" i="14" s="1"/>
  <c r="K137" i="14" s="1"/>
  <c r="I153" i="14"/>
  <c r="K153" i="14" s="1"/>
  <c r="I154" i="14"/>
  <c r="K154" i="14" s="1"/>
  <c r="J156" i="14"/>
  <c r="L158" i="14"/>
  <c r="O158" i="14" s="1"/>
  <c r="M158" i="14"/>
  <c r="N158" i="14"/>
  <c r="O161" i="14"/>
  <c r="P161" i="14"/>
  <c r="L162" i="14"/>
  <c r="L160" i="14" s="1"/>
  <c r="O160" i="14" s="1"/>
  <c r="M162" i="14"/>
  <c r="P162" i="14" s="1"/>
  <c r="N162" i="14"/>
  <c r="N160" i="14" s="1"/>
  <c r="O164" i="14"/>
  <c r="P164" i="14"/>
  <c r="L165" i="14"/>
  <c r="O165" i="14" s="1"/>
  <c r="M165" i="14"/>
  <c r="P165" i="14" s="1"/>
  <c r="N165" i="14"/>
  <c r="N163" i="14" s="1"/>
  <c r="I167" i="14"/>
  <c r="K167" i="14" s="1"/>
  <c r="I168" i="14"/>
  <c r="K168" i="14" s="1"/>
  <c r="I169" i="14"/>
  <c r="K169" i="14" s="1"/>
  <c r="J172" i="14"/>
  <c r="L174" i="14"/>
  <c r="O174" i="14" s="1"/>
  <c r="M174" i="14"/>
  <c r="N174" i="14"/>
  <c r="O177" i="14"/>
  <c r="P177" i="14"/>
  <c r="L178" i="14"/>
  <c r="L176" i="14" s="1"/>
  <c r="M178" i="14"/>
  <c r="N178" i="14"/>
  <c r="N176" i="14" s="1"/>
  <c r="O180" i="14"/>
  <c r="P180" i="14"/>
  <c r="L181" i="14"/>
  <c r="O181" i="14" s="1"/>
  <c r="M181" i="14"/>
  <c r="P181" i="14" s="1"/>
  <c r="N181" i="14"/>
  <c r="N179" i="14" s="1"/>
  <c r="I183" i="14"/>
  <c r="I172" i="14" s="1"/>
  <c r="K172" i="14" s="1"/>
  <c r="K184" i="14"/>
  <c r="L187" i="14"/>
  <c r="M187" i="14"/>
  <c r="N187" i="14"/>
  <c r="O187" i="14"/>
  <c r="P187" i="14"/>
  <c r="O190" i="14"/>
  <c r="P190" i="14"/>
  <c r="L191" i="14"/>
  <c r="L189" i="14" s="1"/>
  <c r="M191" i="14"/>
  <c r="M189" i="14" s="1"/>
  <c r="N191" i="14"/>
  <c r="N189" i="14" s="1"/>
  <c r="O193" i="14"/>
  <c r="P193" i="14"/>
  <c r="L194" i="14"/>
  <c r="O194" i="14" s="1"/>
  <c r="M194" i="14"/>
  <c r="M192" i="14" s="1"/>
  <c r="P192" i="14" s="1"/>
  <c r="N194" i="14"/>
  <c r="N192" i="14" s="1"/>
  <c r="J195" i="14"/>
  <c r="L196" i="14"/>
  <c r="O196" i="14" s="1"/>
  <c r="P196" i="14"/>
  <c r="I198" i="14"/>
  <c r="I195" i="14" s="1"/>
  <c r="J199" i="14"/>
  <c r="J202" i="14"/>
  <c r="N203" i="14"/>
  <c r="P203" i="14"/>
  <c r="L204" i="14"/>
  <c r="L205" i="14"/>
  <c r="L206" i="14"/>
  <c r="L207" i="14"/>
  <c r="I209" i="14"/>
  <c r="I202" i="14" s="1"/>
  <c r="I211" i="14"/>
  <c r="K211" i="14" s="1"/>
  <c r="I212" i="14"/>
  <c r="K212" i="14" s="1"/>
  <c r="J213" i="14"/>
  <c r="N214" i="14"/>
  <c r="P214" i="14"/>
  <c r="L215" i="14"/>
  <c r="L216" i="14"/>
  <c r="L217" i="14"/>
  <c r="I219" i="14"/>
  <c r="K219" i="14" s="1"/>
  <c r="I220" i="14"/>
  <c r="I213" i="14" s="1"/>
  <c r="K213" i="14" s="1"/>
  <c r="J221" i="14"/>
  <c r="N222" i="14"/>
  <c r="P222" i="14"/>
  <c r="L223" i="14"/>
  <c r="L224" i="14"/>
  <c r="L225" i="14"/>
  <c r="I228" i="14"/>
  <c r="K228" i="14" s="1"/>
  <c r="I229" i="14"/>
  <c r="I221" i="14" s="1"/>
  <c r="I230" i="14"/>
  <c r="K230" i="14" s="1"/>
  <c r="N233" i="14"/>
  <c r="N234" i="14"/>
  <c r="N235" i="14"/>
  <c r="N236" i="14"/>
  <c r="J238" i="14"/>
  <c r="I240" i="14"/>
  <c r="K240" i="14" s="1"/>
  <c r="J240" i="14"/>
  <c r="I241" i="14"/>
  <c r="K241" i="14" s="1"/>
  <c r="J241" i="14"/>
  <c r="J242" i="14"/>
  <c r="N243" i="14"/>
  <c r="N232" i="14" s="1"/>
  <c r="P243" i="14"/>
  <c r="L244" i="14"/>
  <c r="L245" i="14"/>
  <c r="L246" i="14"/>
  <c r="L247" i="14"/>
  <c r="I249" i="14"/>
  <c r="K251" i="14"/>
  <c r="K252" i="14"/>
  <c r="J253" i="14"/>
  <c r="N254" i="14"/>
  <c r="P254" i="14"/>
  <c r="L255" i="14"/>
  <c r="L256" i="14"/>
  <c r="L257" i="14"/>
  <c r="L258" i="14"/>
  <c r="I260" i="14"/>
  <c r="I253" i="14" s="1"/>
  <c r="K253" i="14" s="1"/>
  <c r="K262" i="14"/>
  <c r="K263" i="14"/>
  <c r="I265" i="14"/>
  <c r="K265" i="14" s="1"/>
  <c r="J265" i="14"/>
  <c r="L267" i="14"/>
  <c r="O267" i="14" s="1"/>
  <c r="M267" i="14"/>
  <c r="P267" i="14" s="1"/>
  <c r="N267" i="14"/>
  <c r="O270" i="14"/>
  <c r="P270" i="14"/>
  <c r="L271" i="14"/>
  <c r="L269" i="14" s="1"/>
  <c r="O269" i="14" s="1"/>
  <c r="M271" i="14"/>
  <c r="M269" i="14" s="1"/>
  <c r="P269" i="14" s="1"/>
  <c r="N271" i="14"/>
  <c r="N269" i="14" s="1"/>
  <c r="O273" i="14"/>
  <c r="P273" i="14"/>
  <c r="L274" i="14"/>
  <c r="L272" i="14" s="1"/>
  <c r="O272" i="14" s="1"/>
  <c r="M274" i="14"/>
  <c r="P274" i="14" s="1"/>
  <c r="N274" i="14"/>
  <c r="N272" i="14" s="1"/>
  <c r="J281" i="14"/>
  <c r="L283" i="14"/>
  <c r="O283" i="14" s="1"/>
  <c r="M283" i="14"/>
  <c r="P283" i="14" s="1"/>
  <c r="N283" i="14"/>
  <c r="O286" i="14"/>
  <c r="P286" i="14"/>
  <c r="L287" i="14"/>
  <c r="O287" i="14" s="1"/>
  <c r="M287" i="14"/>
  <c r="N287" i="14"/>
  <c r="N285" i="14" s="1"/>
  <c r="O289" i="14"/>
  <c r="P289" i="14"/>
  <c r="L290" i="14"/>
  <c r="O290" i="14" s="1"/>
  <c r="M290" i="14"/>
  <c r="P290" i="14" s="1"/>
  <c r="N290" i="14"/>
  <c r="I292" i="14"/>
  <c r="I281" i="14" s="1"/>
  <c r="K281" i="14" s="1"/>
  <c r="I293" i="14"/>
  <c r="I280" i="14" s="1"/>
  <c r="K280" i="14" s="1"/>
  <c r="J293" i="14"/>
  <c r="J280" i="14" s="1"/>
  <c r="I295" i="14"/>
  <c r="K295" i="14" s="1"/>
  <c r="I296" i="14"/>
  <c r="K296" i="14" s="1"/>
  <c r="J302" i="14"/>
  <c r="L304" i="14"/>
  <c r="O304" i="14" s="1"/>
  <c r="M304" i="14"/>
  <c r="P304" i="14" s="1"/>
  <c r="N304" i="14"/>
  <c r="O307" i="14"/>
  <c r="P307" i="14"/>
  <c r="L308" i="14"/>
  <c r="L306" i="14" s="1"/>
  <c r="O306" i="14" s="1"/>
  <c r="M308" i="14"/>
  <c r="M306" i="14" s="1"/>
  <c r="P306" i="14" s="1"/>
  <c r="N308" i="14"/>
  <c r="N306" i="14" s="1"/>
  <c r="O310" i="14"/>
  <c r="P310" i="14"/>
  <c r="L311" i="14"/>
  <c r="L309" i="14" s="1"/>
  <c r="O309" i="14" s="1"/>
  <c r="M311" i="14"/>
  <c r="M309" i="14" s="1"/>
  <c r="P309" i="14" s="1"/>
  <c r="N311" i="14"/>
  <c r="N309" i="14" s="1"/>
  <c r="I314" i="14"/>
  <c r="I302" i="14" s="1"/>
  <c r="K302" i="14" s="1"/>
  <c r="I315" i="14"/>
  <c r="K315" i="14" s="1"/>
  <c r="I316" i="14"/>
  <c r="K316" i="14" s="1"/>
  <c r="I317" i="14"/>
  <c r="K317" i="14" s="1"/>
  <c r="J319" i="14"/>
  <c r="L321" i="14"/>
  <c r="M321" i="14"/>
  <c r="P321" i="14" s="1"/>
  <c r="N321" i="14"/>
  <c r="O321" i="14"/>
  <c r="O324" i="14"/>
  <c r="P324" i="14"/>
  <c r="L325" i="14"/>
  <c r="M325" i="14"/>
  <c r="P325" i="14" s="1"/>
  <c r="N325" i="14"/>
  <c r="N323" i="14" s="1"/>
  <c r="O327" i="14"/>
  <c r="P327" i="14"/>
  <c r="L328" i="14"/>
  <c r="L326" i="14" s="1"/>
  <c r="O326" i="14" s="1"/>
  <c r="M328" i="14"/>
  <c r="N328" i="14"/>
  <c r="N326" i="14" s="1"/>
  <c r="I330" i="14"/>
  <c r="I319" i="14" s="1"/>
  <c r="K319" i="14" s="1"/>
  <c r="L334" i="14"/>
  <c r="O334" i="14" s="1"/>
  <c r="M334" i="14"/>
  <c r="P334" i="14" s="1"/>
  <c r="N334" i="14"/>
  <c r="O337" i="14"/>
  <c r="P337" i="14"/>
  <c r="L338" i="14"/>
  <c r="M338" i="14"/>
  <c r="N338" i="14"/>
  <c r="N336" i="14" s="1"/>
  <c r="O340" i="14"/>
  <c r="P340" i="14"/>
  <c r="L341" i="14"/>
  <c r="L339" i="14" s="1"/>
  <c r="O339" i="14" s="1"/>
  <c r="M341" i="14"/>
  <c r="M339" i="14" s="1"/>
  <c r="P339" i="14" s="1"/>
  <c r="N341" i="14"/>
  <c r="N339" i="14" s="1"/>
  <c r="I344" i="14"/>
  <c r="I332" i="14" s="1"/>
  <c r="J344" i="14"/>
  <c r="I346" i="14"/>
  <c r="J346" i="14"/>
  <c r="J347" i="14"/>
  <c r="J348" i="14"/>
  <c r="J349" i="14"/>
  <c r="D350" i="14"/>
  <c r="J352" i="14"/>
  <c r="J353" i="14"/>
  <c r="D354" i="14"/>
  <c r="L357" i="14"/>
  <c r="M357" i="14"/>
  <c r="P357" i="14" s="1"/>
  <c r="N357" i="14"/>
  <c r="O357" i="14"/>
  <c r="O360" i="14"/>
  <c r="P360" i="14"/>
  <c r="L361" i="14"/>
  <c r="L359" i="14" s="1"/>
  <c r="M361" i="14"/>
  <c r="N361" i="14"/>
  <c r="O363" i="14"/>
  <c r="P363" i="14"/>
  <c r="L364" i="14"/>
  <c r="L362" i="14" s="1"/>
  <c r="O362" i="14" s="1"/>
  <c r="M364" i="14"/>
  <c r="M362" i="14" s="1"/>
  <c r="P362" i="14" s="1"/>
  <c r="N364" i="14"/>
  <c r="N362" i="14" s="1"/>
  <c r="J367" i="14"/>
  <c r="K367" i="14"/>
  <c r="I368" i="14"/>
  <c r="J368" i="14"/>
  <c r="I369" i="14"/>
  <c r="J369" i="14"/>
  <c r="J370" i="14"/>
  <c r="K370" i="14"/>
  <c r="I371" i="14"/>
  <c r="I365" i="14" s="1"/>
  <c r="J371" i="14"/>
  <c r="J365" i="14" s="1"/>
  <c r="J372" i="14"/>
  <c r="K372" i="14"/>
  <c r="D373" i="14"/>
  <c r="I376" i="14"/>
  <c r="J376" i="14"/>
  <c r="K376" i="14"/>
  <c r="L378" i="14"/>
  <c r="O378" i="14" s="1"/>
  <c r="M378" i="14"/>
  <c r="N378" i="14"/>
  <c r="O381" i="14"/>
  <c r="P381" i="14"/>
  <c r="L382" i="14"/>
  <c r="L380" i="14" s="1"/>
  <c r="O380" i="14" s="1"/>
  <c r="M382" i="14"/>
  <c r="N382" i="14"/>
  <c r="N380" i="14" s="1"/>
  <c r="O384" i="14"/>
  <c r="P384" i="14"/>
  <c r="L385" i="14"/>
  <c r="O385" i="14" s="1"/>
  <c r="M385" i="14"/>
  <c r="N385" i="14"/>
  <c r="N383" i="14" s="1"/>
  <c r="K387" i="14"/>
  <c r="K388" i="14"/>
  <c r="A391" i="14"/>
  <c r="L22" i="13"/>
  <c r="O22" i="13" s="1"/>
  <c r="M22" i="13"/>
  <c r="N22" i="13"/>
  <c r="L25" i="13"/>
  <c r="M25" i="13"/>
  <c r="P25" i="13" s="1"/>
  <c r="N25" i="13"/>
  <c r="L45" i="13"/>
  <c r="M45" i="13"/>
  <c r="N45" i="13"/>
  <c r="P45" i="13"/>
  <c r="O48" i="13"/>
  <c r="P48" i="13"/>
  <c r="L49" i="13"/>
  <c r="M49" i="13"/>
  <c r="M47" i="13" s="1"/>
  <c r="N49" i="13"/>
  <c r="N47" i="13" s="1"/>
  <c r="O51" i="13"/>
  <c r="P51" i="13"/>
  <c r="L52" i="13"/>
  <c r="L50" i="13" s="1"/>
  <c r="O50" i="13" s="1"/>
  <c r="M52" i="13"/>
  <c r="M50" i="13" s="1"/>
  <c r="P50" i="13" s="1"/>
  <c r="N52" i="13"/>
  <c r="N50" i="13" s="1"/>
  <c r="L60" i="13"/>
  <c r="M60" i="13"/>
  <c r="N60" i="13"/>
  <c r="O60" i="13"/>
  <c r="O63" i="13"/>
  <c r="P63" i="13"/>
  <c r="L64" i="13"/>
  <c r="M64" i="13"/>
  <c r="N64" i="13"/>
  <c r="N62" i="13" s="1"/>
  <c r="O66" i="13"/>
  <c r="P66" i="13"/>
  <c r="L67" i="13"/>
  <c r="M67" i="13"/>
  <c r="M65" i="13" s="1"/>
  <c r="P65" i="13" s="1"/>
  <c r="N67" i="13"/>
  <c r="N65" i="13" s="1"/>
  <c r="L73" i="13"/>
  <c r="O73" i="13" s="1"/>
  <c r="M73" i="13"/>
  <c r="P73" i="13" s="1"/>
  <c r="N73" i="13"/>
  <c r="O76" i="13"/>
  <c r="P76" i="13"/>
  <c r="L77" i="13"/>
  <c r="M77" i="13"/>
  <c r="N77" i="13"/>
  <c r="N75" i="13" s="1"/>
  <c r="O79" i="13"/>
  <c r="P79" i="13"/>
  <c r="L80" i="13"/>
  <c r="L78" i="13" s="1"/>
  <c r="O78" i="13" s="1"/>
  <c r="M80" i="13"/>
  <c r="N80" i="13"/>
  <c r="N78" i="13" s="1"/>
  <c r="J82" i="13"/>
  <c r="J70" i="13" s="1"/>
  <c r="J83" i="13"/>
  <c r="J71" i="13" s="1"/>
  <c r="I84" i="13"/>
  <c r="K84" i="13" s="1"/>
  <c r="I85" i="13"/>
  <c r="K85" i="13" s="1"/>
  <c r="I86" i="13"/>
  <c r="K86" i="13" s="1"/>
  <c r="I87" i="13"/>
  <c r="K87" i="13" s="1"/>
  <c r="I88" i="13"/>
  <c r="K88" i="13" s="1"/>
  <c r="I89" i="13"/>
  <c r="K89" i="13" s="1"/>
  <c r="I90" i="13"/>
  <c r="K90" i="13" s="1"/>
  <c r="J92" i="13"/>
  <c r="J93" i="13"/>
  <c r="L95" i="13"/>
  <c r="M95" i="13"/>
  <c r="P95" i="13" s="1"/>
  <c r="N95" i="13"/>
  <c r="O95" i="13"/>
  <c r="O98" i="13"/>
  <c r="P98" i="13"/>
  <c r="L99" i="13"/>
  <c r="L97" i="13" s="1"/>
  <c r="O97" i="13" s="1"/>
  <c r="M99" i="13"/>
  <c r="N99" i="13"/>
  <c r="N97" i="13" s="1"/>
  <c r="O101" i="13"/>
  <c r="P101" i="13"/>
  <c r="L102" i="13"/>
  <c r="L100" i="13" s="1"/>
  <c r="O100" i="13" s="1"/>
  <c r="M102" i="13"/>
  <c r="M100" i="13" s="1"/>
  <c r="P100" i="13" s="1"/>
  <c r="N102" i="13"/>
  <c r="N100" i="13" s="1"/>
  <c r="I108" i="13"/>
  <c r="K108" i="13" s="1"/>
  <c r="I109" i="13"/>
  <c r="I93" i="13" s="1"/>
  <c r="K93" i="13" s="1"/>
  <c r="I117" i="13"/>
  <c r="K117" i="13" s="1"/>
  <c r="L126" i="13"/>
  <c r="M126" i="13"/>
  <c r="N126" i="13"/>
  <c r="P126" i="13"/>
  <c r="O129" i="13"/>
  <c r="P129" i="13"/>
  <c r="L130" i="13"/>
  <c r="L128" i="13" s="1"/>
  <c r="O128" i="13" s="1"/>
  <c r="M130" i="13"/>
  <c r="P130" i="13" s="1"/>
  <c r="N130" i="13"/>
  <c r="N128" i="13" s="1"/>
  <c r="O132" i="13"/>
  <c r="P132" i="13"/>
  <c r="L133" i="13"/>
  <c r="L131" i="13" s="1"/>
  <c r="O131" i="13" s="1"/>
  <c r="M133" i="13"/>
  <c r="P133" i="13" s="1"/>
  <c r="N133" i="13"/>
  <c r="N131" i="13" s="1"/>
  <c r="J136" i="13"/>
  <c r="J137" i="13"/>
  <c r="J138" i="13"/>
  <c r="L140" i="13"/>
  <c r="M140" i="13"/>
  <c r="N140" i="13"/>
  <c r="P140" i="13"/>
  <c r="O143" i="13"/>
  <c r="P143" i="13"/>
  <c r="L144" i="13"/>
  <c r="L142" i="13" s="1"/>
  <c r="M144" i="13"/>
  <c r="N144" i="13"/>
  <c r="O146" i="13"/>
  <c r="P146" i="13"/>
  <c r="L147" i="13"/>
  <c r="L145" i="13" s="1"/>
  <c r="O145" i="13" s="1"/>
  <c r="M147" i="13"/>
  <c r="P147" i="13" s="1"/>
  <c r="N147" i="13"/>
  <c r="N145" i="13" s="1"/>
  <c r="I150" i="13"/>
  <c r="K150" i="13" s="1"/>
  <c r="I151" i="13"/>
  <c r="K151" i="13" s="1"/>
  <c r="I152" i="13"/>
  <c r="I153" i="13"/>
  <c r="I138" i="13" s="1"/>
  <c r="K138" i="13" s="1"/>
  <c r="I154" i="13"/>
  <c r="K154" i="13" s="1"/>
  <c r="J156" i="13"/>
  <c r="L158" i="13"/>
  <c r="O158" i="13" s="1"/>
  <c r="M158" i="13"/>
  <c r="P158" i="13" s="1"/>
  <c r="N158" i="13"/>
  <c r="O161" i="13"/>
  <c r="P161" i="13"/>
  <c r="L162" i="13"/>
  <c r="O162" i="13" s="1"/>
  <c r="M162" i="13"/>
  <c r="N162" i="13"/>
  <c r="N160" i="13" s="1"/>
  <c r="O164" i="13"/>
  <c r="P164" i="13"/>
  <c r="L165" i="13"/>
  <c r="M165" i="13"/>
  <c r="N165" i="13"/>
  <c r="N163" i="13" s="1"/>
  <c r="I167" i="13"/>
  <c r="K167" i="13" s="1"/>
  <c r="I168" i="13"/>
  <c r="K168" i="13" s="1"/>
  <c r="I169" i="13"/>
  <c r="K169" i="13" s="1"/>
  <c r="J172" i="13"/>
  <c r="L174" i="13"/>
  <c r="O174" i="13" s="1"/>
  <c r="M174" i="13"/>
  <c r="N174" i="13"/>
  <c r="O177" i="13"/>
  <c r="P177" i="13"/>
  <c r="L178" i="13"/>
  <c r="L176" i="13" s="1"/>
  <c r="M178" i="13"/>
  <c r="N178" i="13"/>
  <c r="N176" i="13" s="1"/>
  <c r="O180" i="13"/>
  <c r="P180" i="13"/>
  <c r="L181" i="13"/>
  <c r="O181" i="13" s="1"/>
  <c r="M181" i="13"/>
  <c r="P181" i="13" s="1"/>
  <c r="N181" i="13"/>
  <c r="I183" i="13"/>
  <c r="I172" i="13" s="1"/>
  <c r="K172" i="13" s="1"/>
  <c r="K184" i="13"/>
  <c r="L187" i="13"/>
  <c r="M187" i="13"/>
  <c r="P187" i="13" s="1"/>
  <c r="N187" i="13"/>
  <c r="O187" i="13"/>
  <c r="O190" i="13"/>
  <c r="P190" i="13"/>
  <c r="L191" i="13"/>
  <c r="L189" i="13" s="1"/>
  <c r="M191" i="13"/>
  <c r="N191" i="13"/>
  <c r="N189" i="13" s="1"/>
  <c r="O193" i="13"/>
  <c r="P193" i="13"/>
  <c r="L194" i="13"/>
  <c r="L192" i="13" s="1"/>
  <c r="O192" i="13" s="1"/>
  <c r="M194" i="13"/>
  <c r="N194" i="13"/>
  <c r="N192" i="13" s="1"/>
  <c r="J195" i="13"/>
  <c r="L196" i="13"/>
  <c r="O196" i="13" s="1"/>
  <c r="P196" i="13"/>
  <c r="I198" i="13"/>
  <c r="I195" i="13" s="1"/>
  <c r="J199" i="13"/>
  <c r="J202" i="13"/>
  <c r="N203" i="13"/>
  <c r="P203" i="13"/>
  <c r="L204" i="13"/>
  <c r="L205" i="13"/>
  <c r="L206" i="13"/>
  <c r="L207" i="13"/>
  <c r="I209" i="13"/>
  <c r="K209" i="13" s="1"/>
  <c r="I211" i="13"/>
  <c r="K211" i="13" s="1"/>
  <c r="I212" i="13"/>
  <c r="K212" i="13" s="1"/>
  <c r="J213" i="13"/>
  <c r="N214" i="13"/>
  <c r="P214" i="13"/>
  <c r="L215" i="13"/>
  <c r="L216" i="13"/>
  <c r="L217" i="13"/>
  <c r="I219" i="13"/>
  <c r="K219" i="13" s="1"/>
  <c r="I220" i="13"/>
  <c r="I213" i="13" s="1"/>
  <c r="J221" i="13"/>
  <c r="N222" i="13"/>
  <c r="P222" i="13"/>
  <c r="L223" i="13"/>
  <c r="L224" i="13"/>
  <c r="L225" i="13"/>
  <c r="I228" i="13"/>
  <c r="K228" i="13" s="1"/>
  <c r="I229" i="13"/>
  <c r="I221" i="13" s="1"/>
  <c r="I230" i="13"/>
  <c r="K230" i="13" s="1"/>
  <c r="N233" i="13"/>
  <c r="N234" i="13"/>
  <c r="N235" i="13"/>
  <c r="N236" i="13"/>
  <c r="J238" i="13"/>
  <c r="I240" i="13"/>
  <c r="K240" i="13" s="1"/>
  <c r="J240" i="13"/>
  <c r="I241" i="13"/>
  <c r="K241" i="13" s="1"/>
  <c r="J241" i="13"/>
  <c r="J242" i="13"/>
  <c r="J231" i="13" s="1"/>
  <c r="J185" i="13" s="1"/>
  <c r="N243" i="13"/>
  <c r="N232" i="13" s="1"/>
  <c r="P243" i="13"/>
  <c r="L244" i="13"/>
  <c r="L245" i="13"/>
  <c r="L246" i="13"/>
  <c r="L247" i="13"/>
  <c r="I249" i="13"/>
  <c r="K249" i="13" s="1"/>
  <c r="K251" i="13"/>
  <c r="K252" i="13"/>
  <c r="J253" i="13"/>
  <c r="N254" i="13"/>
  <c r="P254" i="13"/>
  <c r="L255" i="13"/>
  <c r="L256" i="13"/>
  <c r="L257" i="13"/>
  <c r="L258" i="13"/>
  <c r="I260" i="13"/>
  <c r="I253" i="13" s="1"/>
  <c r="K253" i="13" s="1"/>
  <c r="K262" i="13"/>
  <c r="K263" i="13"/>
  <c r="I265" i="13"/>
  <c r="K265" i="13" s="1"/>
  <c r="J265" i="13"/>
  <c r="L267" i="13"/>
  <c r="M267" i="13"/>
  <c r="P267" i="13" s="1"/>
  <c r="N267" i="13"/>
  <c r="O267" i="13"/>
  <c r="O270" i="13"/>
  <c r="P270" i="13"/>
  <c r="L271" i="13"/>
  <c r="O271" i="13" s="1"/>
  <c r="M271" i="13"/>
  <c r="M269" i="13" s="1"/>
  <c r="P269" i="13" s="1"/>
  <c r="N271" i="13"/>
  <c r="N269" i="13" s="1"/>
  <c r="O273" i="13"/>
  <c r="P273" i="13"/>
  <c r="L274" i="13"/>
  <c r="L272" i="13" s="1"/>
  <c r="O272" i="13" s="1"/>
  <c r="M274" i="13"/>
  <c r="M272" i="13" s="1"/>
  <c r="P272" i="13" s="1"/>
  <c r="N274" i="13"/>
  <c r="N272" i="13" s="1"/>
  <c r="J281" i="13"/>
  <c r="L283" i="13"/>
  <c r="O283" i="13" s="1"/>
  <c r="M283" i="13"/>
  <c r="N283" i="13"/>
  <c r="O286" i="13"/>
  <c r="P286" i="13"/>
  <c r="L287" i="13"/>
  <c r="L285" i="13" s="1"/>
  <c r="O285" i="13" s="1"/>
  <c r="M287" i="13"/>
  <c r="P287" i="13" s="1"/>
  <c r="N287" i="13"/>
  <c r="N285" i="13" s="1"/>
  <c r="O289" i="13"/>
  <c r="P289" i="13"/>
  <c r="L290" i="13"/>
  <c r="L288" i="13" s="1"/>
  <c r="O288" i="13" s="1"/>
  <c r="M290" i="13"/>
  <c r="P290" i="13" s="1"/>
  <c r="N290" i="13"/>
  <c r="N288" i="13" s="1"/>
  <c r="I292" i="13"/>
  <c r="I281" i="13" s="1"/>
  <c r="K281" i="13" s="1"/>
  <c r="I293" i="13"/>
  <c r="I280" i="13" s="1"/>
  <c r="K280" i="13" s="1"/>
  <c r="J293" i="13"/>
  <c r="J280" i="13" s="1"/>
  <c r="I295" i="13"/>
  <c r="K295" i="13" s="1"/>
  <c r="I296" i="13"/>
  <c r="K296" i="13" s="1"/>
  <c r="J302" i="13"/>
  <c r="L304" i="13"/>
  <c r="O304" i="13" s="1"/>
  <c r="M304" i="13"/>
  <c r="P304" i="13" s="1"/>
  <c r="N304" i="13"/>
  <c r="O307" i="13"/>
  <c r="P307" i="13"/>
  <c r="L308" i="13"/>
  <c r="M308" i="13"/>
  <c r="M306" i="13" s="1"/>
  <c r="P306" i="13" s="1"/>
  <c r="N308" i="13"/>
  <c r="N306" i="13" s="1"/>
  <c r="O310" i="13"/>
  <c r="P310" i="13"/>
  <c r="L311" i="13"/>
  <c r="L309" i="13" s="1"/>
  <c r="O309" i="13" s="1"/>
  <c r="M311" i="13"/>
  <c r="M309" i="13" s="1"/>
  <c r="P309" i="13" s="1"/>
  <c r="N311" i="13"/>
  <c r="N309" i="13" s="1"/>
  <c r="I314" i="13"/>
  <c r="K314" i="13" s="1"/>
  <c r="I315" i="13"/>
  <c r="K315" i="13" s="1"/>
  <c r="I316" i="13"/>
  <c r="K316" i="13" s="1"/>
  <c r="I317" i="13"/>
  <c r="K317" i="13" s="1"/>
  <c r="J319" i="13"/>
  <c r="L321" i="13"/>
  <c r="M321" i="13"/>
  <c r="P321" i="13" s="1"/>
  <c r="N321" i="13"/>
  <c r="O324" i="13"/>
  <c r="P324" i="13"/>
  <c r="L325" i="13"/>
  <c r="L323" i="13" s="1"/>
  <c r="O323" i="13" s="1"/>
  <c r="M325" i="13"/>
  <c r="P325" i="13" s="1"/>
  <c r="N325" i="13"/>
  <c r="N323" i="13" s="1"/>
  <c r="O327" i="13"/>
  <c r="P327" i="13"/>
  <c r="L328" i="13"/>
  <c r="L326" i="13" s="1"/>
  <c r="O326" i="13" s="1"/>
  <c r="M328" i="13"/>
  <c r="M326" i="13" s="1"/>
  <c r="P326" i="13" s="1"/>
  <c r="N328" i="13"/>
  <c r="I330" i="13"/>
  <c r="L334" i="13"/>
  <c r="O334" i="13" s="1"/>
  <c r="M334" i="13"/>
  <c r="N334" i="13"/>
  <c r="P334" i="13"/>
  <c r="O337" i="13"/>
  <c r="P337" i="13"/>
  <c r="L338" i="13"/>
  <c r="M338" i="13"/>
  <c r="M336" i="13" s="1"/>
  <c r="N338" i="13"/>
  <c r="N336" i="13" s="1"/>
  <c r="O340" i="13"/>
  <c r="P340" i="13"/>
  <c r="L341" i="13"/>
  <c r="M341" i="13"/>
  <c r="M339" i="13" s="1"/>
  <c r="P339" i="13" s="1"/>
  <c r="N341" i="13"/>
  <c r="N339" i="13" s="1"/>
  <c r="I344" i="13"/>
  <c r="J344" i="13"/>
  <c r="I346" i="13"/>
  <c r="J346" i="13"/>
  <c r="J347" i="13"/>
  <c r="J348" i="13"/>
  <c r="J349" i="13"/>
  <c r="D350" i="13"/>
  <c r="J352" i="13"/>
  <c r="J353" i="13"/>
  <c r="D354" i="13"/>
  <c r="L357" i="13"/>
  <c r="O357" i="13" s="1"/>
  <c r="M357" i="13"/>
  <c r="P357" i="13" s="1"/>
  <c r="N357" i="13"/>
  <c r="O360" i="13"/>
  <c r="P360" i="13"/>
  <c r="L361" i="13"/>
  <c r="M361" i="13"/>
  <c r="M359" i="13" s="1"/>
  <c r="N361" i="13"/>
  <c r="N359" i="13" s="1"/>
  <c r="O363" i="13"/>
  <c r="P363" i="13"/>
  <c r="L364" i="13"/>
  <c r="O364" i="13" s="1"/>
  <c r="M364" i="13"/>
  <c r="P364" i="13" s="1"/>
  <c r="N364" i="13"/>
  <c r="N362" i="13" s="1"/>
  <c r="J367" i="13"/>
  <c r="K367" i="13"/>
  <c r="I368" i="13"/>
  <c r="J368" i="13"/>
  <c r="I369" i="13"/>
  <c r="J369" i="13"/>
  <c r="J370" i="13"/>
  <c r="K370" i="13"/>
  <c r="I371" i="13"/>
  <c r="J371" i="13"/>
  <c r="J365" i="13" s="1"/>
  <c r="J372" i="13"/>
  <c r="K372" i="13"/>
  <c r="D373" i="13"/>
  <c r="I376" i="13"/>
  <c r="K376" i="13" s="1"/>
  <c r="J376" i="13"/>
  <c r="L378" i="13"/>
  <c r="O378" i="13" s="1"/>
  <c r="M378" i="13"/>
  <c r="N378" i="13"/>
  <c r="P378" i="13"/>
  <c r="O381" i="13"/>
  <c r="P381" i="13"/>
  <c r="L382" i="13"/>
  <c r="L380" i="13" s="1"/>
  <c r="O380" i="13" s="1"/>
  <c r="M382" i="13"/>
  <c r="M380" i="13" s="1"/>
  <c r="P380" i="13" s="1"/>
  <c r="N382" i="13"/>
  <c r="N380" i="13" s="1"/>
  <c r="O384" i="13"/>
  <c r="P384" i="13"/>
  <c r="L385" i="13"/>
  <c r="L383" i="13" s="1"/>
  <c r="O383" i="13" s="1"/>
  <c r="M385" i="13"/>
  <c r="M383" i="13" s="1"/>
  <c r="P383" i="13" s="1"/>
  <c r="N385" i="13"/>
  <c r="N383" i="13" s="1"/>
  <c r="K387" i="13"/>
  <c r="K388" i="13"/>
  <c r="A391" i="13"/>
  <c r="L22" i="12"/>
  <c r="O22" i="12" s="1"/>
  <c r="M22" i="12"/>
  <c r="N22" i="12"/>
  <c r="N19" i="12" s="1"/>
  <c r="L25" i="12"/>
  <c r="M25" i="12"/>
  <c r="P25" i="12" s="1"/>
  <c r="N25" i="12"/>
  <c r="L45" i="12"/>
  <c r="M45" i="12"/>
  <c r="N45" i="12"/>
  <c r="O45" i="12"/>
  <c r="P45" i="12"/>
  <c r="O48" i="12"/>
  <c r="P48" i="12"/>
  <c r="L49" i="12"/>
  <c r="M49" i="12"/>
  <c r="M47" i="12" s="1"/>
  <c r="N49" i="12"/>
  <c r="N47" i="12" s="1"/>
  <c r="O51" i="12"/>
  <c r="P51" i="12"/>
  <c r="L52" i="12"/>
  <c r="O52" i="12" s="1"/>
  <c r="M52" i="12"/>
  <c r="M50" i="12" s="1"/>
  <c r="P50" i="12" s="1"/>
  <c r="N52" i="12"/>
  <c r="N50" i="12" s="1"/>
  <c r="L60" i="12"/>
  <c r="O60" i="12" s="1"/>
  <c r="M60" i="12"/>
  <c r="N60" i="12"/>
  <c r="O63" i="12"/>
  <c r="P63" i="12"/>
  <c r="L64" i="12"/>
  <c r="M64" i="12"/>
  <c r="N64" i="12"/>
  <c r="O66" i="12"/>
  <c r="P66" i="12"/>
  <c r="L67" i="12"/>
  <c r="O67" i="12" s="1"/>
  <c r="M67" i="12"/>
  <c r="N67" i="12"/>
  <c r="J70" i="12"/>
  <c r="L73" i="12"/>
  <c r="O73" i="12" s="1"/>
  <c r="M73" i="12"/>
  <c r="P73" i="12" s="1"/>
  <c r="N73" i="12"/>
  <c r="O76" i="12"/>
  <c r="P76" i="12"/>
  <c r="L77" i="12"/>
  <c r="L75" i="12" s="1"/>
  <c r="O75" i="12" s="1"/>
  <c r="M77" i="12"/>
  <c r="M75" i="12" s="1"/>
  <c r="P75" i="12" s="1"/>
  <c r="N77" i="12"/>
  <c r="N75" i="12" s="1"/>
  <c r="O79" i="12"/>
  <c r="P79" i="12"/>
  <c r="L80" i="12"/>
  <c r="L78" i="12" s="1"/>
  <c r="O78" i="12" s="1"/>
  <c r="M80" i="12"/>
  <c r="M78" i="12" s="1"/>
  <c r="P78" i="12" s="1"/>
  <c r="N80" i="12"/>
  <c r="N78" i="12" s="1"/>
  <c r="J82" i="12"/>
  <c r="J83" i="12"/>
  <c r="J71" i="12" s="1"/>
  <c r="I84" i="12"/>
  <c r="K84" i="12" s="1"/>
  <c r="I85" i="12"/>
  <c r="I86" i="12"/>
  <c r="K86" i="12" s="1"/>
  <c r="I87" i="12"/>
  <c r="K87" i="12" s="1"/>
  <c r="I88" i="12"/>
  <c r="K88" i="12" s="1"/>
  <c r="I89" i="12"/>
  <c r="K89" i="12" s="1"/>
  <c r="I90" i="12"/>
  <c r="K90" i="12" s="1"/>
  <c r="J92" i="12"/>
  <c r="J93" i="12"/>
  <c r="L95" i="12"/>
  <c r="O95" i="12" s="1"/>
  <c r="M95" i="12"/>
  <c r="P95" i="12" s="1"/>
  <c r="N95" i="12"/>
  <c r="O98" i="12"/>
  <c r="P98" i="12"/>
  <c r="L99" i="12"/>
  <c r="O99" i="12" s="1"/>
  <c r="M99" i="12"/>
  <c r="M97" i="12" s="1"/>
  <c r="P97" i="12" s="1"/>
  <c r="N99" i="12"/>
  <c r="N97" i="12" s="1"/>
  <c r="O101" i="12"/>
  <c r="P101" i="12"/>
  <c r="L102" i="12"/>
  <c r="O102" i="12" s="1"/>
  <c r="M102" i="12"/>
  <c r="M100" i="12" s="1"/>
  <c r="P100" i="12" s="1"/>
  <c r="N102" i="12"/>
  <c r="N100" i="12" s="1"/>
  <c r="I108" i="12"/>
  <c r="I92" i="12" s="1"/>
  <c r="K92" i="12" s="1"/>
  <c r="I109" i="12"/>
  <c r="K109" i="12" s="1"/>
  <c r="I117" i="12"/>
  <c r="K117" i="12" s="1"/>
  <c r="L126" i="12"/>
  <c r="O126" i="12" s="1"/>
  <c r="M126" i="12"/>
  <c r="P126" i="12" s="1"/>
  <c r="N126" i="12"/>
  <c r="O129" i="12"/>
  <c r="P129" i="12"/>
  <c r="L130" i="12"/>
  <c r="M130" i="12"/>
  <c r="P130" i="12" s="1"/>
  <c r="N130" i="12"/>
  <c r="N128" i="12" s="1"/>
  <c r="O132" i="12"/>
  <c r="P132" i="12"/>
  <c r="L133" i="12"/>
  <c r="L131" i="12" s="1"/>
  <c r="O131" i="12" s="1"/>
  <c r="M133" i="12"/>
  <c r="P133" i="12" s="1"/>
  <c r="N133" i="12"/>
  <c r="N131" i="12" s="1"/>
  <c r="J136" i="12"/>
  <c r="J137" i="12"/>
  <c r="J138" i="12"/>
  <c r="L140" i="12"/>
  <c r="O140" i="12" s="1"/>
  <c r="M140" i="12"/>
  <c r="P140" i="12" s="1"/>
  <c r="N140" i="12"/>
  <c r="O143" i="12"/>
  <c r="P143" i="12"/>
  <c r="L144" i="12"/>
  <c r="O144" i="12" s="1"/>
  <c r="M144" i="12"/>
  <c r="P144" i="12" s="1"/>
  <c r="N144" i="12"/>
  <c r="N142" i="12" s="1"/>
  <c r="O146" i="12"/>
  <c r="P146" i="12"/>
  <c r="L147" i="12"/>
  <c r="L145" i="12" s="1"/>
  <c r="O145" i="12" s="1"/>
  <c r="M147" i="12"/>
  <c r="P147" i="12" s="1"/>
  <c r="N147" i="12"/>
  <c r="N145" i="12" s="1"/>
  <c r="I150" i="12"/>
  <c r="K150" i="12" s="1"/>
  <c r="I151" i="12"/>
  <c r="K151" i="12" s="1"/>
  <c r="I152" i="12"/>
  <c r="K152" i="12" s="1"/>
  <c r="I153" i="12"/>
  <c r="I138" i="12" s="1"/>
  <c r="K138" i="12" s="1"/>
  <c r="I154" i="12"/>
  <c r="I136" i="12" s="1"/>
  <c r="K136" i="12" s="1"/>
  <c r="J156" i="12"/>
  <c r="L158" i="12"/>
  <c r="O158" i="12" s="1"/>
  <c r="M158" i="12"/>
  <c r="P158" i="12" s="1"/>
  <c r="N158" i="12"/>
  <c r="O161" i="12"/>
  <c r="P161" i="12"/>
  <c r="L162" i="12"/>
  <c r="L160" i="12" s="1"/>
  <c r="M162" i="12"/>
  <c r="M160" i="12" s="1"/>
  <c r="P160" i="12" s="1"/>
  <c r="N162" i="12"/>
  <c r="N160" i="12" s="1"/>
  <c r="O164" i="12"/>
  <c r="P164" i="12"/>
  <c r="L165" i="12"/>
  <c r="L163" i="12" s="1"/>
  <c r="O163" i="12" s="1"/>
  <c r="M165" i="12"/>
  <c r="M163" i="12" s="1"/>
  <c r="P163" i="12" s="1"/>
  <c r="N165" i="12"/>
  <c r="N163" i="12" s="1"/>
  <c r="I167" i="12"/>
  <c r="I156" i="12" s="1"/>
  <c r="K156" i="12" s="1"/>
  <c r="J172" i="12"/>
  <c r="L174" i="12"/>
  <c r="M174" i="12"/>
  <c r="N174" i="12"/>
  <c r="O174" i="12"/>
  <c r="P174" i="12"/>
  <c r="O177" i="12"/>
  <c r="P177" i="12"/>
  <c r="L178" i="12"/>
  <c r="M178" i="12"/>
  <c r="M176" i="12" s="1"/>
  <c r="N178" i="12"/>
  <c r="N176" i="12" s="1"/>
  <c r="O180" i="12"/>
  <c r="P180" i="12"/>
  <c r="L181" i="12"/>
  <c r="L179" i="12" s="1"/>
  <c r="O179" i="12" s="1"/>
  <c r="M181" i="12"/>
  <c r="M179" i="12" s="1"/>
  <c r="P179" i="12" s="1"/>
  <c r="N181" i="12"/>
  <c r="N179" i="12" s="1"/>
  <c r="I183" i="12"/>
  <c r="K183" i="12" s="1"/>
  <c r="K184" i="12"/>
  <c r="L187" i="12"/>
  <c r="O187" i="12" s="1"/>
  <c r="M187" i="12"/>
  <c r="N187" i="12"/>
  <c r="O190" i="12"/>
  <c r="P190" i="12"/>
  <c r="L191" i="12"/>
  <c r="M191" i="12"/>
  <c r="N191" i="12"/>
  <c r="N189" i="12" s="1"/>
  <c r="O193" i="12"/>
  <c r="P193" i="12"/>
  <c r="L194" i="12"/>
  <c r="O194" i="12" s="1"/>
  <c r="M194" i="12"/>
  <c r="N194" i="12"/>
  <c r="N192" i="12" s="1"/>
  <c r="J195" i="12"/>
  <c r="L196" i="12"/>
  <c r="O196" i="12" s="1"/>
  <c r="P196" i="12"/>
  <c r="I198" i="12"/>
  <c r="I195" i="12" s="1"/>
  <c r="K195" i="12" s="1"/>
  <c r="J199" i="12"/>
  <c r="J202" i="12"/>
  <c r="N203" i="12"/>
  <c r="P203" i="12"/>
  <c r="L204" i="12"/>
  <c r="L205" i="12"/>
  <c r="L206" i="12"/>
  <c r="L207" i="12"/>
  <c r="I209" i="12"/>
  <c r="K209" i="12" s="1"/>
  <c r="I211" i="12"/>
  <c r="K211" i="12" s="1"/>
  <c r="I212" i="12"/>
  <c r="K212" i="12" s="1"/>
  <c r="J213" i="12"/>
  <c r="N214" i="12"/>
  <c r="P214" i="12"/>
  <c r="L215" i="12"/>
  <c r="L216" i="12"/>
  <c r="L217" i="12"/>
  <c r="I219" i="12"/>
  <c r="K219" i="12" s="1"/>
  <c r="I220" i="12"/>
  <c r="K220" i="12" s="1"/>
  <c r="J221" i="12"/>
  <c r="N222" i="12"/>
  <c r="P222" i="12"/>
  <c r="L223" i="12"/>
  <c r="L224" i="12"/>
  <c r="L225" i="12"/>
  <c r="I228" i="12"/>
  <c r="K228" i="12" s="1"/>
  <c r="I229" i="12"/>
  <c r="I221" i="12" s="1"/>
  <c r="I230" i="12"/>
  <c r="K230" i="12" s="1"/>
  <c r="N233" i="12"/>
  <c r="N234" i="12"/>
  <c r="N235" i="12"/>
  <c r="N236" i="12"/>
  <c r="J238" i="12"/>
  <c r="I240" i="12"/>
  <c r="J240" i="12"/>
  <c r="K240" i="12"/>
  <c r="I241" i="12"/>
  <c r="K241" i="12" s="1"/>
  <c r="J241" i="12"/>
  <c r="J242" i="12"/>
  <c r="J231" i="12" s="1"/>
  <c r="J185" i="12" s="1"/>
  <c r="N243" i="12"/>
  <c r="N232" i="12" s="1"/>
  <c r="P243" i="12"/>
  <c r="L244" i="12"/>
  <c r="L245" i="12"/>
  <c r="L246" i="12"/>
  <c r="L247" i="12"/>
  <c r="I249" i="12"/>
  <c r="I242" i="12" s="1"/>
  <c r="K242" i="12" s="1"/>
  <c r="K251" i="12"/>
  <c r="K252" i="12"/>
  <c r="J253" i="12"/>
  <c r="N254" i="12"/>
  <c r="P254" i="12"/>
  <c r="L255" i="12"/>
  <c r="L256" i="12"/>
  <c r="L257" i="12"/>
  <c r="L258" i="12"/>
  <c r="I260" i="12"/>
  <c r="K260" i="12" s="1"/>
  <c r="K262" i="12"/>
  <c r="K263" i="12"/>
  <c r="I265" i="12"/>
  <c r="K265" i="12" s="1"/>
  <c r="J265" i="12"/>
  <c r="L267" i="12"/>
  <c r="O267" i="12" s="1"/>
  <c r="M267" i="12"/>
  <c r="N267" i="12"/>
  <c r="O270" i="12"/>
  <c r="P270" i="12"/>
  <c r="L271" i="12"/>
  <c r="O271" i="12" s="1"/>
  <c r="M271" i="12"/>
  <c r="N271" i="12"/>
  <c r="O273" i="12"/>
  <c r="P273" i="12"/>
  <c r="L274" i="12"/>
  <c r="M274" i="12"/>
  <c r="P274" i="12" s="1"/>
  <c r="N274" i="12"/>
  <c r="N272" i="12" s="1"/>
  <c r="J281" i="12"/>
  <c r="L283" i="12"/>
  <c r="O283" i="12" s="1"/>
  <c r="M283" i="12"/>
  <c r="N283" i="12"/>
  <c r="P283" i="12"/>
  <c r="O286" i="12"/>
  <c r="P286" i="12"/>
  <c r="L287" i="12"/>
  <c r="L285" i="12" s="1"/>
  <c r="M287" i="12"/>
  <c r="M285" i="12" s="1"/>
  <c r="N287" i="12"/>
  <c r="O289" i="12"/>
  <c r="P289" i="12"/>
  <c r="L290" i="12"/>
  <c r="L288" i="12" s="1"/>
  <c r="O288" i="12" s="1"/>
  <c r="M290" i="12"/>
  <c r="M288" i="12" s="1"/>
  <c r="P288" i="12" s="1"/>
  <c r="N290" i="12"/>
  <c r="N288" i="12" s="1"/>
  <c r="I292" i="12"/>
  <c r="K292" i="12" s="1"/>
  <c r="I293" i="12"/>
  <c r="I280" i="12" s="1"/>
  <c r="J293" i="12"/>
  <c r="J280" i="12" s="1"/>
  <c r="I295" i="12"/>
  <c r="K295" i="12" s="1"/>
  <c r="I296" i="12"/>
  <c r="K296" i="12" s="1"/>
  <c r="J302" i="12"/>
  <c r="L304" i="12"/>
  <c r="O304" i="12" s="1"/>
  <c r="M304" i="12"/>
  <c r="N304" i="12"/>
  <c r="O307" i="12"/>
  <c r="P307" i="12"/>
  <c r="L308" i="12"/>
  <c r="M308" i="12"/>
  <c r="P308" i="12" s="1"/>
  <c r="N308" i="12"/>
  <c r="N306" i="12" s="1"/>
  <c r="O310" i="12"/>
  <c r="P310" i="12"/>
  <c r="L311" i="12"/>
  <c r="M311" i="12"/>
  <c r="P311" i="12" s="1"/>
  <c r="N311" i="12"/>
  <c r="N309" i="12" s="1"/>
  <c r="I314" i="12"/>
  <c r="I302" i="12" s="1"/>
  <c r="K302" i="12" s="1"/>
  <c r="I315" i="12"/>
  <c r="K315" i="12" s="1"/>
  <c r="I316" i="12"/>
  <c r="K316" i="12" s="1"/>
  <c r="I317" i="12"/>
  <c r="K317" i="12" s="1"/>
  <c r="J319" i="12"/>
  <c r="L321" i="12"/>
  <c r="M321" i="12"/>
  <c r="N321" i="12"/>
  <c r="O321" i="12"/>
  <c r="P321" i="12"/>
  <c r="O324" i="12"/>
  <c r="P324" i="12"/>
  <c r="L325" i="12"/>
  <c r="O325" i="12" s="1"/>
  <c r="M325" i="12"/>
  <c r="M323" i="12" s="1"/>
  <c r="P323" i="12" s="1"/>
  <c r="N325" i="12"/>
  <c r="N323" i="12" s="1"/>
  <c r="O327" i="12"/>
  <c r="P327" i="12"/>
  <c r="L328" i="12"/>
  <c r="O328" i="12" s="1"/>
  <c r="M328" i="12"/>
  <c r="M326" i="12" s="1"/>
  <c r="P326" i="12" s="1"/>
  <c r="N328" i="12"/>
  <c r="N326" i="12" s="1"/>
  <c r="I330" i="12"/>
  <c r="I319" i="12" s="1"/>
  <c r="K319" i="12" s="1"/>
  <c r="L334" i="12"/>
  <c r="O334" i="12" s="1"/>
  <c r="M334" i="12"/>
  <c r="N334" i="12"/>
  <c r="O337" i="12"/>
  <c r="P337" i="12"/>
  <c r="L338" i="12"/>
  <c r="L336" i="12" s="1"/>
  <c r="M338" i="12"/>
  <c r="M336" i="12" s="1"/>
  <c r="N338" i="12"/>
  <c r="N336" i="12" s="1"/>
  <c r="O340" i="12"/>
  <c r="P340" i="12"/>
  <c r="L341" i="12"/>
  <c r="L339" i="12" s="1"/>
  <c r="O339" i="12" s="1"/>
  <c r="M341" i="12"/>
  <c r="M339" i="12" s="1"/>
  <c r="P339" i="12" s="1"/>
  <c r="N341" i="12"/>
  <c r="N339" i="12" s="1"/>
  <c r="I344" i="12"/>
  <c r="I332" i="12" s="1"/>
  <c r="J344" i="12"/>
  <c r="I346" i="12"/>
  <c r="J346" i="12"/>
  <c r="J347" i="12"/>
  <c r="J348" i="12"/>
  <c r="J349" i="12"/>
  <c r="D350" i="12"/>
  <c r="J352" i="12"/>
  <c r="J353" i="12"/>
  <c r="D354" i="12"/>
  <c r="L357" i="12"/>
  <c r="O357" i="12" s="1"/>
  <c r="M357" i="12"/>
  <c r="P357" i="12" s="1"/>
  <c r="N357" i="12"/>
  <c r="O360" i="12"/>
  <c r="P360" i="12"/>
  <c r="L361" i="12"/>
  <c r="M361" i="12"/>
  <c r="N361" i="12"/>
  <c r="N359" i="12" s="1"/>
  <c r="O363" i="12"/>
  <c r="P363" i="12"/>
  <c r="L364" i="12"/>
  <c r="O364" i="12" s="1"/>
  <c r="M364" i="12"/>
  <c r="P364" i="12" s="1"/>
  <c r="N364" i="12"/>
  <c r="N362" i="12" s="1"/>
  <c r="J367" i="12"/>
  <c r="K367" i="12"/>
  <c r="I368" i="12"/>
  <c r="J368" i="12"/>
  <c r="I369" i="12"/>
  <c r="J369" i="12"/>
  <c r="J370" i="12"/>
  <c r="K370" i="12"/>
  <c r="I371" i="12"/>
  <c r="J371" i="12"/>
  <c r="J365" i="12" s="1"/>
  <c r="J372" i="12"/>
  <c r="K372" i="12"/>
  <c r="D373" i="12"/>
  <c r="I376" i="12"/>
  <c r="K376" i="12" s="1"/>
  <c r="J376" i="12"/>
  <c r="L378" i="12"/>
  <c r="O378" i="12" s="1"/>
  <c r="M378" i="12"/>
  <c r="N378" i="12"/>
  <c r="O381" i="12"/>
  <c r="P381" i="12"/>
  <c r="L382" i="12"/>
  <c r="M382" i="12"/>
  <c r="M380" i="12" s="1"/>
  <c r="P380" i="12" s="1"/>
  <c r="N382" i="12"/>
  <c r="N380" i="12" s="1"/>
  <c r="O384" i="12"/>
  <c r="P384" i="12"/>
  <c r="L385" i="12"/>
  <c r="O385" i="12" s="1"/>
  <c r="M385" i="12"/>
  <c r="M383" i="12" s="1"/>
  <c r="P383" i="12" s="1"/>
  <c r="N385" i="12"/>
  <c r="N383" i="12" s="1"/>
  <c r="K387" i="12"/>
  <c r="K388" i="12"/>
  <c r="A391" i="12"/>
  <c r="L22" i="11"/>
  <c r="O22" i="11" s="1"/>
  <c r="M22" i="11"/>
  <c r="N22" i="11"/>
  <c r="N19" i="11" s="1"/>
  <c r="L25" i="11"/>
  <c r="M25" i="11"/>
  <c r="P25" i="11" s="1"/>
  <c r="N25" i="11"/>
  <c r="L45" i="11"/>
  <c r="M45" i="11"/>
  <c r="N45" i="11"/>
  <c r="O45" i="11"/>
  <c r="P45" i="11"/>
  <c r="O48" i="11"/>
  <c r="P48" i="11"/>
  <c r="L49" i="11"/>
  <c r="M49" i="11"/>
  <c r="M47" i="11" s="1"/>
  <c r="N49" i="11"/>
  <c r="N47" i="11" s="1"/>
  <c r="O51" i="11"/>
  <c r="P51" i="11"/>
  <c r="L52" i="11"/>
  <c r="L50" i="11" s="1"/>
  <c r="O50" i="11" s="1"/>
  <c r="M52" i="11"/>
  <c r="P52" i="11" s="1"/>
  <c r="N52" i="11"/>
  <c r="L60" i="11"/>
  <c r="O60" i="11" s="1"/>
  <c r="M60" i="11"/>
  <c r="N60" i="11"/>
  <c r="O63" i="11"/>
  <c r="P63" i="11"/>
  <c r="L64" i="11"/>
  <c r="M64" i="11"/>
  <c r="N64" i="11"/>
  <c r="N62" i="11" s="1"/>
  <c r="O66" i="11"/>
  <c r="P66" i="11"/>
  <c r="L67" i="11"/>
  <c r="O67" i="11" s="1"/>
  <c r="M67" i="11"/>
  <c r="P67" i="11" s="1"/>
  <c r="N67" i="11"/>
  <c r="N65" i="11" s="1"/>
  <c r="L73" i="11"/>
  <c r="O73" i="11" s="1"/>
  <c r="M73" i="11"/>
  <c r="P73" i="11" s="1"/>
  <c r="N73" i="11"/>
  <c r="O76" i="11"/>
  <c r="P76" i="11"/>
  <c r="L77" i="11"/>
  <c r="L75" i="11" s="1"/>
  <c r="M77" i="11"/>
  <c r="M75" i="11" s="1"/>
  <c r="N77" i="11"/>
  <c r="N75" i="11" s="1"/>
  <c r="O79" i="11"/>
  <c r="P79" i="11"/>
  <c r="L80" i="11"/>
  <c r="O80" i="11" s="1"/>
  <c r="M80" i="11"/>
  <c r="M78" i="11" s="1"/>
  <c r="P78" i="11" s="1"/>
  <c r="N80" i="11"/>
  <c r="N78" i="11" s="1"/>
  <c r="J82" i="11"/>
  <c r="J70" i="11" s="1"/>
  <c r="J83" i="11"/>
  <c r="J71" i="11" s="1"/>
  <c r="I84" i="11"/>
  <c r="K84" i="11" s="1"/>
  <c r="I85" i="11"/>
  <c r="K85" i="11" s="1"/>
  <c r="I86" i="11"/>
  <c r="K86" i="11" s="1"/>
  <c r="I87" i="11"/>
  <c r="I88" i="11"/>
  <c r="K88" i="11" s="1"/>
  <c r="I89" i="11"/>
  <c r="K89" i="11" s="1"/>
  <c r="I90" i="11"/>
  <c r="K90" i="11" s="1"/>
  <c r="J92" i="11"/>
  <c r="J93" i="11"/>
  <c r="L95" i="11"/>
  <c r="O95" i="11" s="1"/>
  <c r="M95" i="11"/>
  <c r="N95" i="11"/>
  <c r="P95" i="11"/>
  <c r="O98" i="11"/>
  <c r="P98" i="11"/>
  <c r="L99" i="11"/>
  <c r="L97" i="11" s="1"/>
  <c r="O97" i="11" s="1"/>
  <c r="M99" i="11"/>
  <c r="N99" i="11"/>
  <c r="O101" i="11"/>
  <c r="P101" i="11"/>
  <c r="L102" i="11"/>
  <c r="L100" i="11" s="1"/>
  <c r="O100" i="11" s="1"/>
  <c r="M102" i="11"/>
  <c r="M100" i="11" s="1"/>
  <c r="P100" i="11" s="1"/>
  <c r="N102" i="11"/>
  <c r="N100" i="11" s="1"/>
  <c r="I108" i="11"/>
  <c r="I92" i="11" s="1"/>
  <c r="K92" i="11" s="1"/>
  <c r="I109" i="11"/>
  <c r="K109" i="11" s="1"/>
  <c r="I117" i="11"/>
  <c r="K117" i="11" s="1"/>
  <c r="L126" i="11"/>
  <c r="M126" i="11"/>
  <c r="P126" i="11" s="1"/>
  <c r="N126" i="11"/>
  <c r="O129" i="11"/>
  <c r="P129" i="11"/>
  <c r="L130" i="11"/>
  <c r="L128" i="11" s="1"/>
  <c r="O128" i="11" s="1"/>
  <c r="M130" i="11"/>
  <c r="M128" i="11" s="1"/>
  <c r="P128" i="11" s="1"/>
  <c r="N130" i="11"/>
  <c r="N128" i="11" s="1"/>
  <c r="O132" i="11"/>
  <c r="P132" i="11"/>
  <c r="L133" i="11"/>
  <c r="L131" i="11" s="1"/>
  <c r="O131" i="11" s="1"/>
  <c r="M133" i="11"/>
  <c r="P133" i="11" s="1"/>
  <c r="N133" i="11"/>
  <c r="N131" i="11" s="1"/>
  <c r="J136" i="11"/>
  <c r="J137" i="11"/>
  <c r="J138" i="11"/>
  <c r="L140" i="11"/>
  <c r="M140" i="11"/>
  <c r="P140" i="11" s="1"/>
  <c r="N140" i="11"/>
  <c r="O143" i="11"/>
  <c r="P143" i="11"/>
  <c r="L144" i="11"/>
  <c r="L142" i="11" s="1"/>
  <c r="M144" i="11"/>
  <c r="N144" i="11"/>
  <c r="O146" i="11"/>
  <c r="P146" i="11"/>
  <c r="L147" i="11"/>
  <c r="L145" i="11" s="1"/>
  <c r="O145" i="11" s="1"/>
  <c r="M147" i="11"/>
  <c r="P147" i="11" s="1"/>
  <c r="N147" i="11"/>
  <c r="N145" i="11" s="1"/>
  <c r="I150" i="11"/>
  <c r="K150" i="11" s="1"/>
  <c r="I151" i="11"/>
  <c r="K151" i="11" s="1"/>
  <c r="I152" i="11"/>
  <c r="I153" i="11"/>
  <c r="I138" i="11" s="1"/>
  <c r="K138" i="11" s="1"/>
  <c r="I154" i="11"/>
  <c r="J156" i="11"/>
  <c r="L158" i="11"/>
  <c r="M158" i="11"/>
  <c r="P158" i="11" s="1"/>
  <c r="N158" i="11"/>
  <c r="O158" i="11"/>
  <c r="O161" i="11"/>
  <c r="P161" i="11"/>
  <c r="L162" i="11"/>
  <c r="L160" i="11" s="1"/>
  <c r="O160" i="11" s="1"/>
  <c r="M162" i="11"/>
  <c r="M160" i="11" s="1"/>
  <c r="P160" i="11" s="1"/>
  <c r="N162" i="11"/>
  <c r="N160" i="11" s="1"/>
  <c r="O164" i="11"/>
  <c r="P164" i="11"/>
  <c r="L165" i="11"/>
  <c r="O165" i="11" s="1"/>
  <c r="M165" i="11"/>
  <c r="M163" i="11" s="1"/>
  <c r="P163" i="11" s="1"/>
  <c r="N165" i="11"/>
  <c r="N163" i="11" s="1"/>
  <c r="I167" i="11"/>
  <c r="K167" i="11" s="1"/>
  <c r="I168" i="11"/>
  <c r="K168" i="11" s="1"/>
  <c r="I169" i="11"/>
  <c r="K169" i="11" s="1"/>
  <c r="J172" i="11"/>
  <c r="L174" i="11"/>
  <c r="O174" i="11" s="1"/>
  <c r="M174" i="11"/>
  <c r="P174" i="11" s="1"/>
  <c r="N174" i="11"/>
  <c r="O177" i="11"/>
  <c r="P177" i="11"/>
  <c r="L178" i="11"/>
  <c r="L176" i="11" s="1"/>
  <c r="M178" i="11"/>
  <c r="M176" i="11" s="1"/>
  <c r="N178" i="11"/>
  <c r="O180" i="11"/>
  <c r="P180" i="11"/>
  <c r="L181" i="11"/>
  <c r="O181" i="11" s="1"/>
  <c r="M181" i="11"/>
  <c r="M179" i="11" s="1"/>
  <c r="P179" i="11" s="1"/>
  <c r="N181" i="11"/>
  <c r="N179" i="11" s="1"/>
  <c r="I183" i="11"/>
  <c r="K183" i="11" s="1"/>
  <c r="K184" i="11"/>
  <c r="L187" i="11"/>
  <c r="O187" i="11" s="1"/>
  <c r="M187" i="11"/>
  <c r="P187" i="11" s="1"/>
  <c r="N187" i="11"/>
  <c r="O190" i="11"/>
  <c r="P190" i="11"/>
  <c r="L191" i="11"/>
  <c r="L189" i="11" s="1"/>
  <c r="M191" i="11"/>
  <c r="N191" i="11"/>
  <c r="N189" i="11" s="1"/>
  <c r="O193" i="11"/>
  <c r="P193" i="11"/>
  <c r="L194" i="11"/>
  <c r="O194" i="11" s="1"/>
  <c r="M194" i="11"/>
  <c r="P194" i="11" s="1"/>
  <c r="N194" i="11"/>
  <c r="N192" i="11" s="1"/>
  <c r="J195" i="11"/>
  <c r="L196" i="11"/>
  <c r="O196" i="11" s="1"/>
  <c r="P196" i="11"/>
  <c r="I198" i="11"/>
  <c r="I195" i="11" s="1"/>
  <c r="K195" i="11" s="1"/>
  <c r="J199" i="11"/>
  <c r="J202" i="11"/>
  <c r="N203" i="11"/>
  <c r="P203" i="11"/>
  <c r="L204" i="11"/>
  <c r="L205" i="11"/>
  <c r="L206" i="11"/>
  <c r="L207" i="11"/>
  <c r="I209" i="11"/>
  <c r="K209" i="11" s="1"/>
  <c r="I211" i="11"/>
  <c r="K211" i="11" s="1"/>
  <c r="I212" i="11"/>
  <c r="K212" i="11" s="1"/>
  <c r="J213" i="11"/>
  <c r="N214" i="11"/>
  <c r="P214" i="11"/>
  <c r="L215" i="11"/>
  <c r="L216" i="11"/>
  <c r="L217" i="11"/>
  <c r="I219" i="11"/>
  <c r="K219" i="11" s="1"/>
  <c r="I220" i="11"/>
  <c r="I213" i="11" s="1"/>
  <c r="J221" i="11"/>
  <c r="N222" i="11"/>
  <c r="P222" i="11"/>
  <c r="L223" i="11"/>
  <c r="L224" i="11"/>
  <c r="L225" i="11"/>
  <c r="I228" i="11"/>
  <c r="K228" i="11" s="1"/>
  <c r="I229" i="11"/>
  <c r="I221" i="11" s="1"/>
  <c r="I230" i="11"/>
  <c r="N233" i="11"/>
  <c r="N234" i="11"/>
  <c r="N235" i="11"/>
  <c r="N236" i="11"/>
  <c r="J238" i="11"/>
  <c r="I240" i="11"/>
  <c r="K240" i="11" s="1"/>
  <c r="J240" i="11"/>
  <c r="I241" i="11"/>
  <c r="K241" i="11" s="1"/>
  <c r="J241" i="11"/>
  <c r="J242" i="11"/>
  <c r="N243" i="11"/>
  <c r="P243" i="11"/>
  <c r="L244" i="11"/>
  <c r="L245" i="11"/>
  <c r="L246" i="11"/>
  <c r="L247" i="11"/>
  <c r="I249" i="11"/>
  <c r="K251" i="11"/>
  <c r="K252" i="11"/>
  <c r="J253" i="11"/>
  <c r="N254" i="11"/>
  <c r="P254" i="11"/>
  <c r="L255" i="11"/>
  <c r="L256" i="11"/>
  <c r="L257" i="11"/>
  <c r="L258" i="11"/>
  <c r="I260" i="11"/>
  <c r="I253" i="11" s="1"/>
  <c r="K253" i="11" s="1"/>
  <c r="K262" i="11"/>
  <c r="K263" i="11"/>
  <c r="I265" i="11"/>
  <c r="K265" i="11" s="1"/>
  <c r="J265" i="11"/>
  <c r="L267" i="11"/>
  <c r="O267" i="11" s="1"/>
  <c r="M267" i="11"/>
  <c r="P267" i="11" s="1"/>
  <c r="N267" i="11"/>
  <c r="O270" i="11"/>
  <c r="P270" i="11"/>
  <c r="L271" i="11"/>
  <c r="L269" i="11" s="1"/>
  <c r="O269" i="11" s="1"/>
  <c r="M271" i="11"/>
  <c r="P271" i="11" s="1"/>
  <c r="N271" i="11"/>
  <c r="N269" i="11" s="1"/>
  <c r="O273" i="11"/>
  <c r="P273" i="11"/>
  <c r="L274" i="11"/>
  <c r="L272" i="11" s="1"/>
  <c r="O272" i="11" s="1"/>
  <c r="M274" i="11"/>
  <c r="P274" i="11" s="1"/>
  <c r="N274" i="11"/>
  <c r="N272" i="11" s="1"/>
  <c r="J281" i="11"/>
  <c r="L283" i="11"/>
  <c r="M283" i="11"/>
  <c r="N283" i="11"/>
  <c r="O283" i="11"/>
  <c r="O286" i="11"/>
  <c r="P286" i="11"/>
  <c r="L287" i="11"/>
  <c r="L285" i="11" s="1"/>
  <c r="O285" i="11" s="1"/>
  <c r="M287" i="11"/>
  <c r="M285" i="11" s="1"/>
  <c r="P285" i="11" s="1"/>
  <c r="N287" i="11"/>
  <c r="N285" i="11" s="1"/>
  <c r="O289" i="11"/>
  <c r="P289" i="11"/>
  <c r="L290" i="11"/>
  <c r="L288" i="11" s="1"/>
  <c r="O288" i="11" s="1"/>
  <c r="M290" i="11"/>
  <c r="P290" i="11" s="1"/>
  <c r="N290" i="11"/>
  <c r="N288" i="11" s="1"/>
  <c r="I292" i="11"/>
  <c r="I281" i="11" s="1"/>
  <c r="K281" i="11" s="1"/>
  <c r="I293" i="11"/>
  <c r="I280" i="11" s="1"/>
  <c r="K280" i="11" s="1"/>
  <c r="J293" i="11"/>
  <c r="J280" i="11" s="1"/>
  <c r="I295" i="11"/>
  <c r="K295" i="11" s="1"/>
  <c r="I296" i="11"/>
  <c r="K296" i="11" s="1"/>
  <c r="J302" i="11"/>
  <c r="L304" i="11"/>
  <c r="O304" i="11" s="1"/>
  <c r="M304" i="11"/>
  <c r="P304" i="11" s="1"/>
  <c r="N304" i="11"/>
  <c r="O307" i="11"/>
  <c r="P307" i="11"/>
  <c r="L308" i="11"/>
  <c r="L306" i="11" s="1"/>
  <c r="O306" i="11" s="1"/>
  <c r="M308" i="11"/>
  <c r="P308" i="11" s="1"/>
  <c r="N308" i="11"/>
  <c r="N306" i="11" s="1"/>
  <c r="O310" i="11"/>
  <c r="P310" i="11"/>
  <c r="L311" i="11"/>
  <c r="O311" i="11" s="1"/>
  <c r="M311" i="11"/>
  <c r="P311" i="11" s="1"/>
  <c r="N311" i="11"/>
  <c r="N309" i="11" s="1"/>
  <c r="I314" i="11"/>
  <c r="K314" i="11" s="1"/>
  <c r="I315" i="11"/>
  <c r="K315" i="11" s="1"/>
  <c r="I316" i="11"/>
  <c r="K316" i="11" s="1"/>
  <c r="I317" i="11"/>
  <c r="K317" i="11" s="1"/>
  <c r="J319" i="11"/>
  <c r="L321" i="11"/>
  <c r="M321" i="11"/>
  <c r="N321" i="11"/>
  <c r="P321" i="11"/>
  <c r="O324" i="11"/>
  <c r="P324" i="11"/>
  <c r="L325" i="11"/>
  <c r="L323" i="11" s="1"/>
  <c r="O323" i="11" s="1"/>
  <c r="M325" i="11"/>
  <c r="M323" i="11" s="1"/>
  <c r="P323" i="11" s="1"/>
  <c r="N325" i="11"/>
  <c r="O327" i="11"/>
  <c r="P327" i="11"/>
  <c r="L328" i="11"/>
  <c r="L326" i="11" s="1"/>
  <c r="O326" i="11" s="1"/>
  <c r="M328" i="11"/>
  <c r="M326" i="11" s="1"/>
  <c r="P326" i="11" s="1"/>
  <c r="N328" i="11"/>
  <c r="N326" i="11" s="1"/>
  <c r="I330" i="11"/>
  <c r="I319" i="11" s="1"/>
  <c r="K319" i="11" s="1"/>
  <c r="L334" i="11"/>
  <c r="M334" i="11"/>
  <c r="P334" i="11" s="1"/>
  <c r="N334" i="11"/>
  <c r="O337" i="11"/>
  <c r="P337" i="11"/>
  <c r="L338" i="11"/>
  <c r="L336" i="11" s="1"/>
  <c r="M338" i="11"/>
  <c r="M336" i="11" s="1"/>
  <c r="N338" i="11"/>
  <c r="O340" i="11"/>
  <c r="P340" i="11"/>
  <c r="L341" i="11"/>
  <c r="L339" i="11" s="1"/>
  <c r="O339" i="11" s="1"/>
  <c r="M341" i="11"/>
  <c r="M339" i="11" s="1"/>
  <c r="P339" i="11" s="1"/>
  <c r="N341" i="11"/>
  <c r="I344" i="11"/>
  <c r="I332" i="11" s="1"/>
  <c r="J344" i="11"/>
  <c r="I346" i="11"/>
  <c r="J346" i="11"/>
  <c r="J347" i="11"/>
  <c r="J348" i="11"/>
  <c r="J349" i="11"/>
  <c r="D350" i="11"/>
  <c r="J352" i="11"/>
  <c r="J353" i="11"/>
  <c r="D354" i="11"/>
  <c r="L357" i="11"/>
  <c r="O357" i="11" s="1"/>
  <c r="M357" i="11"/>
  <c r="N357" i="11"/>
  <c r="O360" i="11"/>
  <c r="P360" i="11"/>
  <c r="L361" i="11"/>
  <c r="L359" i="11" s="1"/>
  <c r="M361" i="11"/>
  <c r="N361" i="11"/>
  <c r="O363" i="11"/>
  <c r="P363" i="11"/>
  <c r="L364" i="11"/>
  <c r="L362" i="11" s="1"/>
  <c r="O362" i="11" s="1"/>
  <c r="M364" i="11"/>
  <c r="M362" i="11" s="1"/>
  <c r="P362" i="11" s="1"/>
  <c r="N364" i="11"/>
  <c r="N362" i="11" s="1"/>
  <c r="J367" i="11"/>
  <c r="K367" i="11"/>
  <c r="I368" i="11"/>
  <c r="J368" i="11"/>
  <c r="I369" i="11"/>
  <c r="J369" i="11"/>
  <c r="J370" i="11"/>
  <c r="K370" i="11"/>
  <c r="I371" i="11"/>
  <c r="I365" i="11" s="1"/>
  <c r="J371" i="11"/>
  <c r="J365" i="11" s="1"/>
  <c r="J372" i="11"/>
  <c r="K372" i="11"/>
  <c r="D373" i="11"/>
  <c r="I376" i="11"/>
  <c r="K376" i="11" s="1"/>
  <c r="J376" i="11"/>
  <c r="L378" i="11"/>
  <c r="O378" i="11" s="1"/>
  <c r="M378" i="11"/>
  <c r="N378" i="11"/>
  <c r="O381" i="11"/>
  <c r="P381" i="11"/>
  <c r="L382" i="11"/>
  <c r="M382" i="11"/>
  <c r="N382" i="11"/>
  <c r="N380" i="11" s="1"/>
  <c r="O384" i="11"/>
  <c r="P384" i="11"/>
  <c r="L385" i="11"/>
  <c r="L383" i="11" s="1"/>
  <c r="O383" i="11" s="1"/>
  <c r="M385" i="11"/>
  <c r="P385" i="11" s="1"/>
  <c r="N385" i="11"/>
  <c r="N383" i="11" s="1"/>
  <c r="K387" i="11"/>
  <c r="K388" i="11"/>
  <c r="A391" i="11"/>
  <c r="L22" i="10"/>
  <c r="O22" i="10" s="1"/>
  <c r="M22" i="10"/>
  <c r="N22" i="10"/>
  <c r="L25" i="10"/>
  <c r="M25" i="10"/>
  <c r="P25" i="10" s="1"/>
  <c r="N25" i="10"/>
  <c r="L45" i="10"/>
  <c r="M45" i="10"/>
  <c r="N45" i="10"/>
  <c r="P45" i="10"/>
  <c r="O48" i="10"/>
  <c r="P48" i="10"/>
  <c r="L49" i="10"/>
  <c r="L47" i="10" s="1"/>
  <c r="M49" i="10"/>
  <c r="M47" i="10" s="1"/>
  <c r="N49" i="10"/>
  <c r="N47" i="10" s="1"/>
  <c r="O51" i="10"/>
  <c r="P51" i="10"/>
  <c r="L52" i="10"/>
  <c r="L50" i="10" s="1"/>
  <c r="O50" i="10" s="1"/>
  <c r="M52" i="10"/>
  <c r="M50" i="10" s="1"/>
  <c r="P50" i="10" s="1"/>
  <c r="N52" i="10"/>
  <c r="N50" i="10" s="1"/>
  <c r="L60" i="10"/>
  <c r="M60" i="10"/>
  <c r="N60" i="10"/>
  <c r="O60" i="10"/>
  <c r="O63" i="10"/>
  <c r="P63" i="10"/>
  <c r="L64" i="10"/>
  <c r="M64" i="10"/>
  <c r="M62" i="10" s="1"/>
  <c r="N64" i="10"/>
  <c r="O66" i="10"/>
  <c r="P66" i="10"/>
  <c r="L67" i="10"/>
  <c r="O67" i="10" s="1"/>
  <c r="M67" i="10"/>
  <c r="M65" i="10" s="1"/>
  <c r="P65" i="10" s="1"/>
  <c r="N67" i="10"/>
  <c r="N65" i="10" s="1"/>
  <c r="L73" i="10"/>
  <c r="M73" i="10"/>
  <c r="P73" i="10" s="1"/>
  <c r="N73" i="10"/>
  <c r="O76" i="10"/>
  <c r="P76" i="10"/>
  <c r="L77" i="10"/>
  <c r="M77" i="10"/>
  <c r="M75" i="10" s="1"/>
  <c r="P75" i="10" s="1"/>
  <c r="N77" i="10"/>
  <c r="O79" i="10"/>
  <c r="P79" i="10"/>
  <c r="L80" i="10"/>
  <c r="L78" i="10" s="1"/>
  <c r="O78" i="10" s="1"/>
  <c r="M80" i="10"/>
  <c r="M78" i="10" s="1"/>
  <c r="P78" i="10" s="1"/>
  <c r="N80" i="10"/>
  <c r="N78" i="10" s="1"/>
  <c r="J82" i="10"/>
  <c r="J70" i="10" s="1"/>
  <c r="J83" i="10"/>
  <c r="J71" i="10" s="1"/>
  <c r="I84" i="10"/>
  <c r="K84" i="10" s="1"/>
  <c r="I85" i="10"/>
  <c r="I86" i="10"/>
  <c r="K86" i="10" s="1"/>
  <c r="I87" i="10"/>
  <c r="K87" i="10" s="1"/>
  <c r="I88" i="10"/>
  <c r="K88" i="10" s="1"/>
  <c r="I89" i="10"/>
  <c r="K89" i="10" s="1"/>
  <c r="I90" i="10"/>
  <c r="K90" i="10" s="1"/>
  <c r="J92" i="10"/>
  <c r="J93" i="10"/>
  <c r="L95" i="10"/>
  <c r="O95" i="10" s="1"/>
  <c r="M95" i="10"/>
  <c r="N95" i="10"/>
  <c r="O98" i="10"/>
  <c r="P98" i="10"/>
  <c r="L99" i="10"/>
  <c r="M99" i="10"/>
  <c r="M97" i="10" s="1"/>
  <c r="N99" i="10"/>
  <c r="N97" i="10" s="1"/>
  <c r="O101" i="10"/>
  <c r="P101" i="10"/>
  <c r="L102" i="10"/>
  <c r="M102" i="10"/>
  <c r="M100" i="10" s="1"/>
  <c r="P100" i="10" s="1"/>
  <c r="N102" i="10"/>
  <c r="N100" i="10" s="1"/>
  <c r="I108" i="10"/>
  <c r="K108" i="10" s="1"/>
  <c r="I109" i="10"/>
  <c r="I93" i="10" s="1"/>
  <c r="I117" i="10"/>
  <c r="K117" i="10" s="1"/>
  <c r="L126" i="10"/>
  <c r="M126" i="10"/>
  <c r="P126" i="10" s="1"/>
  <c r="N126" i="10"/>
  <c r="O129" i="10"/>
  <c r="P129" i="10"/>
  <c r="L130" i="10"/>
  <c r="L128" i="10" s="1"/>
  <c r="O128" i="10" s="1"/>
  <c r="M130" i="10"/>
  <c r="P130" i="10" s="1"/>
  <c r="N130" i="10"/>
  <c r="N128" i="10" s="1"/>
  <c r="O132" i="10"/>
  <c r="P132" i="10"/>
  <c r="L133" i="10"/>
  <c r="L131" i="10" s="1"/>
  <c r="O131" i="10" s="1"/>
  <c r="M133" i="10"/>
  <c r="P133" i="10" s="1"/>
  <c r="N133" i="10"/>
  <c r="N131" i="10" s="1"/>
  <c r="J136" i="10"/>
  <c r="J137" i="10"/>
  <c r="J138" i="10"/>
  <c r="L140" i="10"/>
  <c r="M140" i="10"/>
  <c r="P140" i="10" s="1"/>
  <c r="N140" i="10"/>
  <c r="O143" i="10"/>
  <c r="P143" i="10"/>
  <c r="L144" i="10"/>
  <c r="L142" i="10" s="1"/>
  <c r="M144" i="10"/>
  <c r="N144" i="10"/>
  <c r="N142" i="10" s="1"/>
  <c r="O146" i="10"/>
  <c r="P146" i="10"/>
  <c r="L147" i="10"/>
  <c r="L145" i="10" s="1"/>
  <c r="O145" i="10" s="1"/>
  <c r="M147" i="10"/>
  <c r="P147" i="10" s="1"/>
  <c r="N147" i="10"/>
  <c r="N145" i="10" s="1"/>
  <c r="I150" i="10"/>
  <c r="K150" i="10" s="1"/>
  <c r="I151" i="10"/>
  <c r="K151" i="10" s="1"/>
  <c r="I152" i="10"/>
  <c r="I153" i="10"/>
  <c r="I138" i="10" s="1"/>
  <c r="K138" i="10" s="1"/>
  <c r="I154" i="10"/>
  <c r="K154" i="10" s="1"/>
  <c r="J156" i="10"/>
  <c r="L158" i="10"/>
  <c r="O158" i="10" s="1"/>
  <c r="M158" i="10"/>
  <c r="N158" i="10"/>
  <c r="O161" i="10"/>
  <c r="P161" i="10"/>
  <c r="L162" i="10"/>
  <c r="L160" i="10" s="1"/>
  <c r="O160" i="10" s="1"/>
  <c r="M162" i="10"/>
  <c r="N162" i="10"/>
  <c r="N160" i="10" s="1"/>
  <c r="O164" i="10"/>
  <c r="P164" i="10"/>
  <c r="L165" i="10"/>
  <c r="L163" i="10" s="1"/>
  <c r="O163" i="10" s="1"/>
  <c r="M165" i="10"/>
  <c r="N165" i="10"/>
  <c r="N163" i="10" s="1"/>
  <c r="I167" i="10"/>
  <c r="K167" i="10" s="1"/>
  <c r="I168" i="10"/>
  <c r="K168" i="10" s="1"/>
  <c r="I169" i="10"/>
  <c r="K169" i="10" s="1"/>
  <c r="J172" i="10"/>
  <c r="L174" i="10"/>
  <c r="O174" i="10" s="1"/>
  <c r="M174" i="10"/>
  <c r="P174" i="10" s="1"/>
  <c r="N174" i="10"/>
  <c r="O177" i="10"/>
  <c r="P177" i="10"/>
  <c r="L178" i="10"/>
  <c r="M178" i="10"/>
  <c r="N178" i="10"/>
  <c r="N176" i="10" s="1"/>
  <c r="O180" i="10"/>
  <c r="P180" i="10"/>
  <c r="L181" i="10"/>
  <c r="L179" i="10" s="1"/>
  <c r="O179" i="10" s="1"/>
  <c r="M181" i="10"/>
  <c r="N181" i="10"/>
  <c r="N179" i="10" s="1"/>
  <c r="I183" i="10"/>
  <c r="K183" i="10" s="1"/>
  <c r="K184" i="10"/>
  <c r="L187" i="10"/>
  <c r="M187" i="10"/>
  <c r="N187" i="10"/>
  <c r="O187" i="10"/>
  <c r="O190" i="10"/>
  <c r="P190" i="10"/>
  <c r="L191" i="10"/>
  <c r="M191" i="10"/>
  <c r="M189" i="10" s="1"/>
  <c r="N191" i="10"/>
  <c r="N189" i="10" s="1"/>
  <c r="O193" i="10"/>
  <c r="P193" i="10"/>
  <c r="L194" i="10"/>
  <c r="O194" i="10" s="1"/>
  <c r="M194" i="10"/>
  <c r="M192" i="10" s="1"/>
  <c r="P192" i="10" s="1"/>
  <c r="N194" i="10"/>
  <c r="N192" i="10" s="1"/>
  <c r="J195" i="10"/>
  <c r="L196" i="10"/>
  <c r="O196" i="10" s="1"/>
  <c r="P196" i="10"/>
  <c r="I198" i="10"/>
  <c r="K198" i="10" s="1"/>
  <c r="J199" i="10"/>
  <c r="J202" i="10"/>
  <c r="N203" i="10"/>
  <c r="P203" i="10"/>
  <c r="L204" i="10"/>
  <c r="L205" i="10"/>
  <c r="L206" i="10"/>
  <c r="L207" i="10"/>
  <c r="I209" i="10"/>
  <c r="I202" i="10" s="1"/>
  <c r="K202" i="10" s="1"/>
  <c r="I211" i="10"/>
  <c r="K211" i="10" s="1"/>
  <c r="I212" i="10"/>
  <c r="K212" i="10" s="1"/>
  <c r="J213" i="10"/>
  <c r="N214" i="10"/>
  <c r="P214" i="10"/>
  <c r="L215" i="10"/>
  <c r="L216" i="10"/>
  <c r="L217" i="10"/>
  <c r="I219" i="10"/>
  <c r="K219" i="10" s="1"/>
  <c r="I220" i="10"/>
  <c r="I213" i="10" s="1"/>
  <c r="J221" i="10"/>
  <c r="N222" i="10"/>
  <c r="P222" i="10"/>
  <c r="L223" i="10"/>
  <c r="L224" i="10"/>
  <c r="L225" i="10"/>
  <c r="I228" i="10"/>
  <c r="K228" i="10" s="1"/>
  <c r="I229" i="10"/>
  <c r="I221" i="10" s="1"/>
  <c r="K221" i="10" s="1"/>
  <c r="I230" i="10"/>
  <c r="K230" i="10" s="1"/>
  <c r="N233" i="10"/>
  <c r="N234" i="10"/>
  <c r="N235" i="10"/>
  <c r="N236" i="10"/>
  <c r="J238" i="10"/>
  <c r="I240" i="10"/>
  <c r="K240" i="10" s="1"/>
  <c r="J240" i="10"/>
  <c r="I241" i="10"/>
  <c r="K241" i="10" s="1"/>
  <c r="J241" i="10"/>
  <c r="J242" i="10"/>
  <c r="J231" i="10" s="1"/>
  <c r="J185" i="10" s="1"/>
  <c r="N243" i="10"/>
  <c r="P243" i="10"/>
  <c r="L244" i="10"/>
  <c r="L245" i="10"/>
  <c r="L246" i="10"/>
  <c r="L247" i="10"/>
  <c r="I249" i="10"/>
  <c r="K249" i="10" s="1"/>
  <c r="K251" i="10"/>
  <c r="K252" i="10"/>
  <c r="J253" i="10"/>
  <c r="N254" i="10"/>
  <c r="P254" i="10"/>
  <c r="L255" i="10"/>
  <c r="L256" i="10"/>
  <c r="L257" i="10"/>
  <c r="L258" i="10"/>
  <c r="I260" i="10"/>
  <c r="I253" i="10" s="1"/>
  <c r="K253" i="10" s="1"/>
  <c r="K262" i="10"/>
  <c r="K263" i="10"/>
  <c r="I265" i="10"/>
  <c r="K265" i="10" s="1"/>
  <c r="J265" i="10"/>
  <c r="L267" i="10"/>
  <c r="O267" i="10" s="1"/>
  <c r="M267" i="10"/>
  <c r="N267" i="10"/>
  <c r="O270" i="10"/>
  <c r="P270" i="10"/>
  <c r="L271" i="10"/>
  <c r="L269" i="10" s="1"/>
  <c r="O269" i="10" s="1"/>
  <c r="M271" i="10"/>
  <c r="M269" i="10" s="1"/>
  <c r="P269" i="10" s="1"/>
  <c r="N271" i="10"/>
  <c r="N269" i="10" s="1"/>
  <c r="O273" i="10"/>
  <c r="P273" i="10"/>
  <c r="L274" i="10"/>
  <c r="L272" i="10" s="1"/>
  <c r="O272" i="10" s="1"/>
  <c r="M274" i="10"/>
  <c r="M272" i="10" s="1"/>
  <c r="P272" i="10" s="1"/>
  <c r="N274" i="10"/>
  <c r="N272" i="10" s="1"/>
  <c r="J281" i="10"/>
  <c r="L283" i="10"/>
  <c r="O283" i="10" s="1"/>
  <c r="M283" i="10"/>
  <c r="N283" i="10"/>
  <c r="O286" i="10"/>
  <c r="P286" i="10"/>
  <c r="L287" i="10"/>
  <c r="O287" i="10" s="1"/>
  <c r="M287" i="10"/>
  <c r="P287" i="10" s="1"/>
  <c r="N287" i="10"/>
  <c r="O289" i="10"/>
  <c r="P289" i="10"/>
  <c r="L290" i="10"/>
  <c r="O290" i="10" s="1"/>
  <c r="M290" i="10"/>
  <c r="P290" i="10" s="1"/>
  <c r="N290" i="10"/>
  <c r="N288" i="10" s="1"/>
  <c r="I292" i="10"/>
  <c r="I281" i="10" s="1"/>
  <c r="K281" i="10" s="1"/>
  <c r="I293" i="10"/>
  <c r="I280" i="10" s="1"/>
  <c r="K280" i="10" s="1"/>
  <c r="J293" i="10"/>
  <c r="J280" i="10" s="1"/>
  <c r="I295" i="10"/>
  <c r="K295" i="10" s="1"/>
  <c r="I296" i="10"/>
  <c r="K296" i="10" s="1"/>
  <c r="J302" i="10"/>
  <c r="L304" i="10"/>
  <c r="M304" i="10"/>
  <c r="P304" i="10" s="1"/>
  <c r="N304" i="10"/>
  <c r="O304" i="10"/>
  <c r="O307" i="10"/>
  <c r="P307" i="10"/>
  <c r="L308" i="10"/>
  <c r="L306" i="10" s="1"/>
  <c r="M308" i="10"/>
  <c r="M306" i="10" s="1"/>
  <c r="N308" i="10"/>
  <c r="N306" i="10" s="1"/>
  <c r="O310" i="10"/>
  <c r="P310" i="10"/>
  <c r="L311" i="10"/>
  <c r="O311" i="10" s="1"/>
  <c r="M311" i="10"/>
  <c r="M309" i="10" s="1"/>
  <c r="P309" i="10" s="1"/>
  <c r="N311" i="10"/>
  <c r="N309" i="10" s="1"/>
  <c r="I314" i="10"/>
  <c r="I302" i="10" s="1"/>
  <c r="K302" i="10" s="1"/>
  <c r="I315" i="10"/>
  <c r="K315" i="10" s="1"/>
  <c r="I316" i="10"/>
  <c r="K316" i="10" s="1"/>
  <c r="I317" i="10"/>
  <c r="K317" i="10" s="1"/>
  <c r="J319" i="10"/>
  <c r="L321" i="10"/>
  <c r="M321" i="10"/>
  <c r="P321" i="10" s="1"/>
  <c r="N321" i="10"/>
  <c r="O324" i="10"/>
  <c r="P324" i="10"/>
  <c r="L325" i="10"/>
  <c r="L323" i="10" s="1"/>
  <c r="O323" i="10" s="1"/>
  <c r="M325" i="10"/>
  <c r="P325" i="10" s="1"/>
  <c r="N325" i="10"/>
  <c r="N323" i="10" s="1"/>
  <c r="O327" i="10"/>
  <c r="P327" i="10"/>
  <c r="L328" i="10"/>
  <c r="L326" i="10" s="1"/>
  <c r="O326" i="10" s="1"/>
  <c r="M328" i="10"/>
  <c r="M326" i="10" s="1"/>
  <c r="P326" i="10" s="1"/>
  <c r="N328" i="10"/>
  <c r="N326" i="10" s="1"/>
  <c r="I330" i="10"/>
  <c r="I319" i="10" s="1"/>
  <c r="K319" i="10" s="1"/>
  <c r="L334" i="10"/>
  <c r="M334" i="10"/>
  <c r="N334" i="10"/>
  <c r="O334" i="10"/>
  <c r="O337" i="10"/>
  <c r="P337" i="10"/>
  <c r="L338" i="10"/>
  <c r="M338" i="10"/>
  <c r="M336" i="10" s="1"/>
  <c r="N338" i="10"/>
  <c r="N336" i="10" s="1"/>
  <c r="O340" i="10"/>
  <c r="P340" i="10"/>
  <c r="L341" i="10"/>
  <c r="O341" i="10" s="1"/>
  <c r="M341" i="10"/>
  <c r="P341" i="10" s="1"/>
  <c r="N341" i="10"/>
  <c r="N339" i="10" s="1"/>
  <c r="I344" i="10"/>
  <c r="J344" i="10"/>
  <c r="I346" i="10"/>
  <c r="J346" i="10"/>
  <c r="J347" i="10"/>
  <c r="J348" i="10"/>
  <c r="J349" i="10"/>
  <c r="D350" i="10"/>
  <c r="J352" i="10"/>
  <c r="J353" i="10"/>
  <c r="D354" i="10"/>
  <c r="L357" i="10"/>
  <c r="M357" i="10"/>
  <c r="P357" i="10" s="1"/>
  <c r="N357" i="10"/>
  <c r="O360" i="10"/>
  <c r="P360" i="10"/>
  <c r="L361" i="10"/>
  <c r="L359" i="10" s="1"/>
  <c r="M361" i="10"/>
  <c r="M359" i="10" s="1"/>
  <c r="N361" i="10"/>
  <c r="N359" i="10" s="1"/>
  <c r="O363" i="10"/>
  <c r="P363" i="10"/>
  <c r="L364" i="10"/>
  <c r="O364" i="10" s="1"/>
  <c r="M364" i="10"/>
  <c r="P364" i="10" s="1"/>
  <c r="N364" i="10"/>
  <c r="N362" i="10" s="1"/>
  <c r="J367" i="10"/>
  <c r="K367" i="10"/>
  <c r="I368" i="10"/>
  <c r="J368" i="10"/>
  <c r="I369" i="10"/>
  <c r="J369" i="10"/>
  <c r="J370" i="10"/>
  <c r="K370" i="10"/>
  <c r="I371" i="10"/>
  <c r="I365" i="10" s="1"/>
  <c r="J371" i="10"/>
  <c r="J365" i="10" s="1"/>
  <c r="J372" i="10"/>
  <c r="K372" i="10"/>
  <c r="D373" i="10"/>
  <c r="I376" i="10"/>
  <c r="K376" i="10" s="1"/>
  <c r="J376" i="10"/>
  <c r="L378" i="10"/>
  <c r="O378" i="10" s="1"/>
  <c r="M378" i="10"/>
  <c r="P378" i="10" s="1"/>
  <c r="N378" i="10"/>
  <c r="O381" i="10"/>
  <c r="P381" i="10"/>
  <c r="L382" i="10"/>
  <c r="L380" i="10" s="1"/>
  <c r="O380" i="10" s="1"/>
  <c r="M382" i="10"/>
  <c r="M380" i="10" s="1"/>
  <c r="P380" i="10" s="1"/>
  <c r="N382" i="10"/>
  <c r="N380" i="10" s="1"/>
  <c r="O384" i="10"/>
  <c r="P384" i="10"/>
  <c r="L385" i="10"/>
  <c r="O385" i="10" s="1"/>
  <c r="M385" i="10"/>
  <c r="M383" i="10" s="1"/>
  <c r="P383" i="10" s="1"/>
  <c r="N385" i="10"/>
  <c r="N383" i="10" s="1"/>
  <c r="K387" i="10"/>
  <c r="K388" i="10"/>
  <c r="A391" i="10"/>
  <c r="L22" i="9"/>
  <c r="L19" i="9" s="1"/>
  <c r="M22" i="9"/>
  <c r="N22" i="9"/>
  <c r="O22" i="9"/>
  <c r="P22" i="9"/>
  <c r="L25" i="9"/>
  <c r="M25" i="9"/>
  <c r="M19" i="9" s="1"/>
  <c r="N25" i="9"/>
  <c r="N19" i="9" s="1"/>
  <c r="L45" i="9"/>
  <c r="M45" i="9"/>
  <c r="P45" i="9" s="1"/>
  <c r="N45" i="9"/>
  <c r="O48" i="9"/>
  <c r="P48" i="9"/>
  <c r="L49" i="9"/>
  <c r="M49" i="9"/>
  <c r="M47" i="9" s="1"/>
  <c r="N49" i="9"/>
  <c r="N47" i="9" s="1"/>
  <c r="O51" i="9"/>
  <c r="P51" i="9"/>
  <c r="L52" i="9"/>
  <c r="O52" i="9" s="1"/>
  <c r="M52" i="9"/>
  <c r="M50" i="9" s="1"/>
  <c r="P50" i="9" s="1"/>
  <c r="N52" i="9"/>
  <c r="N50" i="9" s="1"/>
  <c r="L60" i="9"/>
  <c r="M60" i="9"/>
  <c r="N60" i="9"/>
  <c r="O60" i="9"/>
  <c r="O63" i="9"/>
  <c r="P63" i="9"/>
  <c r="L64" i="9"/>
  <c r="L62" i="9" s="1"/>
  <c r="M64" i="9"/>
  <c r="M62" i="9" s="1"/>
  <c r="N64" i="9"/>
  <c r="O66" i="9"/>
  <c r="P66" i="9"/>
  <c r="L67" i="9"/>
  <c r="L65" i="9" s="1"/>
  <c r="O65" i="9" s="1"/>
  <c r="M67" i="9"/>
  <c r="M65" i="9" s="1"/>
  <c r="P65" i="9" s="1"/>
  <c r="N67" i="9"/>
  <c r="N65" i="9" s="1"/>
  <c r="L73" i="9"/>
  <c r="M73" i="9"/>
  <c r="P73" i="9" s="1"/>
  <c r="N73" i="9"/>
  <c r="O76" i="9"/>
  <c r="P76" i="9"/>
  <c r="L77" i="9"/>
  <c r="L75" i="9" s="1"/>
  <c r="M77" i="9"/>
  <c r="M75" i="9" s="1"/>
  <c r="N77" i="9"/>
  <c r="O79" i="9"/>
  <c r="P79" i="9"/>
  <c r="L80" i="9"/>
  <c r="O80" i="9" s="1"/>
  <c r="M80" i="9"/>
  <c r="M78" i="9" s="1"/>
  <c r="P78" i="9" s="1"/>
  <c r="N80" i="9"/>
  <c r="N78" i="9" s="1"/>
  <c r="J82" i="9"/>
  <c r="J70" i="9" s="1"/>
  <c r="J83" i="9"/>
  <c r="J71" i="9" s="1"/>
  <c r="I84" i="9"/>
  <c r="K84" i="9" s="1"/>
  <c r="I85" i="9"/>
  <c r="I86" i="9"/>
  <c r="K86" i="9" s="1"/>
  <c r="I87" i="9"/>
  <c r="K87" i="9" s="1"/>
  <c r="I88" i="9"/>
  <c r="K88" i="9" s="1"/>
  <c r="I89" i="9"/>
  <c r="K89" i="9" s="1"/>
  <c r="I90" i="9"/>
  <c r="K90" i="9" s="1"/>
  <c r="J92" i="9"/>
  <c r="J93" i="9"/>
  <c r="L95" i="9"/>
  <c r="O95" i="9" s="1"/>
  <c r="M95" i="9"/>
  <c r="N95" i="9"/>
  <c r="O98" i="9"/>
  <c r="P98" i="9"/>
  <c r="L99" i="9"/>
  <c r="M99" i="9"/>
  <c r="N99" i="9"/>
  <c r="N97" i="9" s="1"/>
  <c r="O101" i="9"/>
  <c r="P101" i="9"/>
  <c r="L102" i="9"/>
  <c r="M102" i="9"/>
  <c r="P102" i="9" s="1"/>
  <c r="N102" i="9"/>
  <c r="N100" i="9" s="1"/>
  <c r="I108" i="9"/>
  <c r="I92" i="9" s="1"/>
  <c r="K92" i="9" s="1"/>
  <c r="I109" i="9"/>
  <c r="I93" i="9" s="1"/>
  <c r="K93" i="9" s="1"/>
  <c r="I117" i="9"/>
  <c r="K117" i="9" s="1"/>
  <c r="L126" i="9"/>
  <c r="M126" i="9"/>
  <c r="N126" i="9"/>
  <c r="O126" i="9"/>
  <c r="P126" i="9"/>
  <c r="O129" i="9"/>
  <c r="P129" i="9"/>
  <c r="L130" i="9"/>
  <c r="M130" i="9"/>
  <c r="P130" i="9" s="1"/>
  <c r="N130" i="9"/>
  <c r="N128" i="9" s="1"/>
  <c r="O132" i="9"/>
  <c r="P132" i="9"/>
  <c r="L133" i="9"/>
  <c r="L131" i="9" s="1"/>
  <c r="O131" i="9" s="1"/>
  <c r="M133" i="9"/>
  <c r="P133" i="9" s="1"/>
  <c r="N133" i="9"/>
  <c r="N131" i="9" s="1"/>
  <c r="J136" i="9"/>
  <c r="J137" i="9"/>
  <c r="J138" i="9"/>
  <c r="L140" i="9"/>
  <c r="O140" i="9" s="1"/>
  <c r="M140" i="9"/>
  <c r="N140" i="9"/>
  <c r="P140" i="9"/>
  <c r="O143" i="9"/>
  <c r="P143" i="9"/>
  <c r="L144" i="9"/>
  <c r="L142" i="9" s="1"/>
  <c r="M144" i="9"/>
  <c r="N144" i="9"/>
  <c r="N142" i="9" s="1"/>
  <c r="O146" i="9"/>
  <c r="P146" i="9"/>
  <c r="L147" i="9"/>
  <c r="L145" i="9" s="1"/>
  <c r="O145" i="9" s="1"/>
  <c r="M147" i="9"/>
  <c r="M145" i="9" s="1"/>
  <c r="P145" i="9" s="1"/>
  <c r="N147" i="9"/>
  <c r="N145" i="9" s="1"/>
  <c r="I150" i="9"/>
  <c r="K150" i="9" s="1"/>
  <c r="I151" i="9"/>
  <c r="K151" i="9" s="1"/>
  <c r="I152" i="9"/>
  <c r="I153" i="9"/>
  <c r="I138" i="9" s="1"/>
  <c r="I154" i="9"/>
  <c r="K154" i="9" s="1"/>
  <c r="J156" i="9"/>
  <c r="L158" i="9"/>
  <c r="M158" i="9"/>
  <c r="N158" i="9"/>
  <c r="P158" i="9"/>
  <c r="O161" i="9"/>
  <c r="P161" i="9"/>
  <c r="L162" i="9"/>
  <c r="L160" i="9" s="1"/>
  <c r="O160" i="9" s="1"/>
  <c r="M162" i="9"/>
  <c r="M160" i="9" s="1"/>
  <c r="P160" i="9" s="1"/>
  <c r="N162" i="9"/>
  <c r="O164" i="9"/>
  <c r="P164" i="9"/>
  <c r="L165" i="9"/>
  <c r="O165" i="9" s="1"/>
  <c r="M165" i="9"/>
  <c r="M163" i="9" s="1"/>
  <c r="P163" i="9" s="1"/>
  <c r="N165" i="9"/>
  <c r="N163" i="9" s="1"/>
  <c r="I167" i="9"/>
  <c r="K167" i="9" s="1"/>
  <c r="I168" i="9"/>
  <c r="K168" i="9" s="1"/>
  <c r="I169" i="9"/>
  <c r="K169" i="9" s="1"/>
  <c r="J172" i="9"/>
  <c r="L174" i="9"/>
  <c r="M174" i="9"/>
  <c r="P174" i="9" s="1"/>
  <c r="N174" i="9"/>
  <c r="O177" i="9"/>
  <c r="P177" i="9"/>
  <c r="L178" i="9"/>
  <c r="L176" i="9" s="1"/>
  <c r="M178" i="9"/>
  <c r="M176" i="9" s="1"/>
  <c r="N178" i="9"/>
  <c r="N176" i="9" s="1"/>
  <c r="O180" i="9"/>
  <c r="P180" i="9"/>
  <c r="L181" i="9"/>
  <c r="O181" i="9" s="1"/>
  <c r="M181" i="9"/>
  <c r="N181" i="9"/>
  <c r="N179" i="9" s="1"/>
  <c r="I183" i="9"/>
  <c r="K183" i="9" s="1"/>
  <c r="K184" i="9"/>
  <c r="L187" i="9"/>
  <c r="M187" i="9"/>
  <c r="N187" i="9"/>
  <c r="O187" i="9"/>
  <c r="O190" i="9"/>
  <c r="P190" i="9"/>
  <c r="L191" i="9"/>
  <c r="M191" i="9"/>
  <c r="M189" i="9" s="1"/>
  <c r="N191" i="9"/>
  <c r="O193" i="9"/>
  <c r="P193" i="9"/>
  <c r="L194" i="9"/>
  <c r="O194" i="9" s="1"/>
  <c r="M194" i="9"/>
  <c r="M192" i="9" s="1"/>
  <c r="P192" i="9" s="1"/>
  <c r="N194" i="9"/>
  <c r="N192" i="9" s="1"/>
  <c r="J195" i="9"/>
  <c r="L196" i="9"/>
  <c r="O196" i="9" s="1"/>
  <c r="P196" i="9"/>
  <c r="I198" i="9"/>
  <c r="I195" i="9" s="1"/>
  <c r="J199" i="9"/>
  <c r="J202" i="9"/>
  <c r="N203" i="9"/>
  <c r="P203" i="9"/>
  <c r="L204" i="9"/>
  <c r="L205" i="9"/>
  <c r="L206" i="9"/>
  <c r="L207" i="9"/>
  <c r="I209" i="9"/>
  <c r="K209" i="9" s="1"/>
  <c r="I211" i="9"/>
  <c r="K211" i="9" s="1"/>
  <c r="I212" i="9"/>
  <c r="K212" i="9" s="1"/>
  <c r="J213" i="9"/>
  <c r="N214" i="9"/>
  <c r="P214" i="9"/>
  <c r="L215" i="9"/>
  <c r="L216" i="9"/>
  <c r="L217" i="9"/>
  <c r="I219" i="9"/>
  <c r="K219" i="9" s="1"/>
  <c r="I220" i="9"/>
  <c r="I213" i="9" s="1"/>
  <c r="K213" i="9" s="1"/>
  <c r="J221" i="9"/>
  <c r="N222" i="9"/>
  <c r="P222" i="9"/>
  <c r="L223" i="9"/>
  <c r="L224" i="9"/>
  <c r="L225" i="9"/>
  <c r="I228" i="9"/>
  <c r="K228" i="9" s="1"/>
  <c r="I229" i="9"/>
  <c r="I221" i="9" s="1"/>
  <c r="K221" i="9" s="1"/>
  <c r="I230" i="9"/>
  <c r="N233" i="9"/>
  <c r="N234" i="9"/>
  <c r="N235" i="9"/>
  <c r="N236" i="9"/>
  <c r="J238" i="9"/>
  <c r="I240" i="9"/>
  <c r="K240" i="9" s="1"/>
  <c r="J240" i="9"/>
  <c r="I241" i="9"/>
  <c r="K241" i="9" s="1"/>
  <c r="J241" i="9"/>
  <c r="J242" i="9"/>
  <c r="N243" i="9"/>
  <c r="N232" i="9" s="1"/>
  <c r="P243" i="9"/>
  <c r="L244" i="9"/>
  <c r="L245" i="9"/>
  <c r="L246" i="9"/>
  <c r="L247" i="9"/>
  <c r="I249" i="9"/>
  <c r="K251" i="9"/>
  <c r="K252" i="9"/>
  <c r="J253" i="9"/>
  <c r="J231" i="9" s="1"/>
  <c r="J185" i="9" s="1"/>
  <c r="N254" i="9"/>
  <c r="P254" i="9"/>
  <c r="L255" i="9"/>
  <c r="L256" i="9"/>
  <c r="L257" i="9"/>
  <c r="L258" i="9"/>
  <c r="I260" i="9"/>
  <c r="I253" i="9" s="1"/>
  <c r="K253" i="9" s="1"/>
  <c r="K262" i="9"/>
  <c r="K263" i="9"/>
  <c r="I265" i="9"/>
  <c r="K265" i="9" s="1"/>
  <c r="J265" i="9"/>
  <c r="L267" i="9"/>
  <c r="O267" i="9" s="1"/>
  <c r="M267" i="9"/>
  <c r="P267" i="9" s="1"/>
  <c r="N267" i="9"/>
  <c r="O270" i="9"/>
  <c r="P270" i="9"/>
  <c r="L271" i="9"/>
  <c r="L269" i="9" s="1"/>
  <c r="O269" i="9" s="1"/>
  <c r="M271" i="9"/>
  <c r="M269" i="9" s="1"/>
  <c r="P269" i="9" s="1"/>
  <c r="N271" i="9"/>
  <c r="N269" i="9" s="1"/>
  <c r="O273" i="9"/>
  <c r="P273" i="9"/>
  <c r="L274" i="9"/>
  <c r="L272" i="9" s="1"/>
  <c r="O272" i="9" s="1"/>
  <c r="M274" i="9"/>
  <c r="M272" i="9" s="1"/>
  <c r="P272" i="9" s="1"/>
  <c r="N274" i="9"/>
  <c r="N272" i="9" s="1"/>
  <c r="J281" i="9"/>
  <c r="L283" i="9"/>
  <c r="O283" i="9" s="1"/>
  <c r="M283" i="9"/>
  <c r="N283" i="9"/>
  <c r="P283" i="9"/>
  <c r="O286" i="9"/>
  <c r="P286" i="9"/>
  <c r="L287" i="9"/>
  <c r="M287" i="9"/>
  <c r="N287" i="9"/>
  <c r="N285" i="9" s="1"/>
  <c r="O289" i="9"/>
  <c r="P289" i="9"/>
  <c r="L290" i="9"/>
  <c r="O290" i="9" s="1"/>
  <c r="M290" i="9"/>
  <c r="N290" i="9"/>
  <c r="I292" i="9"/>
  <c r="I281" i="9" s="1"/>
  <c r="K281" i="9" s="1"/>
  <c r="I293" i="9"/>
  <c r="K293" i="9" s="1"/>
  <c r="J293" i="9"/>
  <c r="J280" i="9" s="1"/>
  <c r="I295" i="9"/>
  <c r="K295" i="9" s="1"/>
  <c r="I296" i="9"/>
  <c r="K296" i="9" s="1"/>
  <c r="J302" i="9"/>
  <c r="L304" i="9"/>
  <c r="O304" i="9" s="1"/>
  <c r="M304" i="9"/>
  <c r="N304" i="9"/>
  <c r="P304" i="9"/>
  <c r="O307" i="9"/>
  <c r="P307" i="9"/>
  <c r="L308" i="9"/>
  <c r="M308" i="9"/>
  <c r="M306" i="9" s="1"/>
  <c r="P306" i="9" s="1"/>
  <c r="N308" i="9"/>
  <c r="N306" i="9" s="1"/>
  <c r="O310" i="9"/>
  <c r="P310" i="9"/>
  <c r="L311" i="9"/>
  <c r="L309" i="9" s="1"/>
  <c r="O309" i="9" s="1"/>
  <c r="M311" i="9"/>
  <c r="M309" i="9" s="1"/>
  <c r="P309" i="9" s="1"/>
  <c r="N311" i="9"/>
  <c r="N309" i="9" s="1"/>
  <c r="I314" i="9"/>
  <c r="K314" i="9" s="1"/>
  <c r="I315" i="9"/>
  <c r="K315" i="9" s="1"/>
  <c r="I316" i="9"/>
  <c r="K316" i="9" s="1"/>
  <c r="I317" i="9"/>
  <c r="K317" i="9" s="1"/>
  <c r="J319" i="9"/>
  <c r="L321" i="9"/>
  <c r="O321" i="9" s="1"/>
  <c r="M321" i="9"/>
  <c r="P321" i="9" s="1"/>
  <c r="N321" i="9"/>
  <c r="O324" i="9"/>
  <c r="P324" i="9"/>
  <c r="L325" i="9"/>
  <c r="L323" i="9" s="1"/>
  <c r="O323" i="9" s="1"/>
  <c r="M325" i="9"/>
  <c r="M323" i="9" s="1"/>
  <c r="P323" i="9" s="1"/>
  <c r="N325" i="9"/>
  <c r="N323" i="9" s="1"/>
  <c r="O327" i="9"/>
  <c r="P327" i="9"/>
  <c r="L328" i="9"/>
  <c r="O328" i="9" s="1"/>
  <c r="M328" i="9"/>
  <c r="M326" i="9" s="1"/>
  <c r="P326" i="9" s="1"/>
  <c r="N328" i="9"/>
  <c r="N326" i="9" s="1"/>
  <c r="I330" i="9"/>
  <c r="I319" i="9" s="1"/>
  <c r="K319" i="9" s="1"/>
  <c r="L334" i="9"/>
  <c r="M334" i="9"/>
  <c r="P334" i="9" s="1"/>
  <c r="N334" i="9"/>
  <c r="O334" i="9"/>
  <c r="O337" i="9"/>
  <c r="P337" i="9"/>
  <c r="L338" i="9"/>
  <c r="L336" i="9" s="1"/>
  <c r="M338" i="9"/>
  <c r="M336" i="9" s="1"/>
  <c r="N338" i="9"/>
  <c r="O340" i="9"/>
  <c r="P340" i="9"/>
  <c r="L341" i="9"/>
  <c r="L339" i="9" s="1"/>
  <c r="O339" i="9" s="1"/>
  <c r="M341" i="9"/>
  <c r="M339" i="9" s="1"/>
  <c r="P339" i="9" s="1"/>
  <c r="N341" i="9"/>
  <c r="N339" i="9" s="1"/>
  <c r="I344" i="9"/>
  <c r="I332" i="9" s="1"/>
  <c r="J344" i="9"/>
  <c r="I346" i="9"/>
  <c r="J346" i="9"/>
  <c r="J347" i="9"/>
  <c r="J348" i="9"/>
  <c r="J349" i="9"/>
  <c r="D350" i="9"/>
  <c r="J352" i="9"/>
  <c r="J353" i="9"/>
  <c r="D354" i="9"/>
  <c r="L357" i="9"/>
  <c r="M357" i="9"/>
  <c r="P357" i="9" s="1"/>
  <c r="N357" i="9"/>
  <c r="O357" i="9"/>
  <c r="O360" i="9"/>
  <c r="P360" i="9"/>
  <c r="L361" i="9"/>
  <c r="L359" i="9" s="1"/>
  <c r="M361" i="9"/>
  <c r="N361" i="9"/>
  <c r="O363" i="9"/>
  <c r="P363" i="9"/>
  <c r="L364" i="9"/>
  <c r="L362" i="9" s="1"/>
  <c r="O362" i="9" s="1"/>
  <c r="M364" i="9"/>
  <c r="M362" i="9" s="1"/>
  <c r="P362" i="9" s="1"/>
  <c r="N364" i="9"/>
  <c r="N362" i="9" s="1"/>
  <c r="J367" i="9"/>
  <c r="K367" i="9"/>
  <c r="I368" i="9"/>
  <c r="J368" i="9"/>
  <c r="I369" i="9"/>
  <c r="J369" i="9"/>
  <c r="J370" i="9"/>
  <c r="K370" i="9"/>
  <c r="I371" i="9"/>
  <c r="I365" i="9" s="1"/>
  <c r="J371" i="9"/>
  <c r="J365" i="9" s="1"/>
  <c r="J372" i="9"/>
  <c r="K372" i="9"/>
  <c r="D373" i="9"/>
  <c r="I376" i="9"/>
  <c r="K376" i="9" s="1"/>
  <c r="J376" i="9"/>
  <c r="L378" i="9"/>
  <c r="O378" i="9" s="1"/>
  <c r="M378" i="9"/>
  <c r="N378" i="9"/>
  <c r="O381" i="9"/>
  <c r="P381" i="9"/>
  <c r="L382" i="9"/>
  <c r="L380" i="9" s="1"/>
  <c r="O380" i="9" s="1"/>
  <c r="M382" i="9"/>
  <c r="P382" i="9" s="1"/>
  <c r="N382" i="9"/>
  <c r="O384" i="9"/>
  <c r="P384" i="9"/>
  <c r="L385" i="9"/>
  <c r="L383" i="9" s="1"/>
  <c r="O383" i="9" s="1"/>
  <c r="M385" i="9"/>
  <c r="P385" i="9" s="1"/>
  <c r="N385" i="9"/>
  <c r="N383" i="9" s="1"/>
  <c r="K387" i="9"/>
  <c r="K388" i="9"/>
  <c r="A391" i="9"/>
  <c r="M19" i="8"/>
  <c r="P19" i="8" s="1"/>
  <c r="N19" i="8"/>
  <c r="L22" i="8"/>
  <c r="M22" i="8"/>
  <c r="N22" i="8"/>
  <c r="O22" i="8"/>
  <c r="P22" i="8"/>
  <c r="L25" i="8"/>
  <c r="M25" i="8"/>
  <c r="N25" i="8"/>
  <c r="P25" i="8"/>
  <c r="L45" i="8"/>
  <c r="M45" i="8"/>
  <c r="N45" i="8"/>
  <c r="O45" i="8"/>
  <c r="P45" i="8"/>
  <c r="O48" i="8"/>
  <c r="P48" i="8"/>
  <c r="L49" i="8"/>
  <c r="L47" i="8" s="1"/>
  <c r="M49" i="8"/>
  <c r="M47" i="8" s="1"/>
  <c r="N49" i="8"/>
  <c r="O51" i="8"/>
  <c r="P51" i="8"/>
  <c r="L52" i="8"/>
  <c r="O52" i="8" s="1"/>
  <c r="M52" i="8"/>
  <c r="N52" i="8"/>
  <c r="N50" i="8" s="1"/>
  <c r="L60" i="8"/>
  <c r="M60" i="8"/>
  <c r="N60" i="8"/>
  <c r="O60" i="8"/>
  <c r="O63" i="8"/>
  <c r="P63" i="8"/>
  <c r="L64" i="8"/>
  <c r="L62" i="8" s="1"/>
  <c r="M64" i="8"/>
  <c r="N64" i="8"/>
  <c r="O66" i="8"/>
  <c r="P66" i="8"/>
  <c r="L67" i="8"/>
  <c r="L65" i="8" s="1"/>
  <c r="O65" i="8" s="1"/>
  <c r="M67" i="8"/>
  <c r="N67" i="8"/>
  <c r="J70" i="8"/>
  <c r="J71" i="8"/>
  <c r="L73" i="8"/>
  <c r="M73" i="8"/>
  <c r="N73" i="8"/>
  <c r="O73" i="8"/>
  <c r="P73" i="8"/>
  <c r="O76" i="8"/>
  <c r="P76" i="8"/>
  <c r="L77" i="8"/>
  <c r="M77" i="8"/>
  <c r="M75" i="8" s="1"/>
  <c r="N77" i="8"/>
  <c r="N75" i="8" s="1"/>
  <c r="O79" i="8"/>
  <c r="P79" i="8"/>
  <c r="L80" i="8"/>
  <c r="O80" i="8" s="1"/>
  <c r="M80" i="8"/>
  <c r="M78" i="8" s="1"/>
  <c r="P78" i="8" s="1"/>
  <c r="N80" i="8"/>
  <c r="N78" i="8" s="1"/>
  <c r="J82" i="8"/>
  <c r="J83" i="8"/>
  <c r="I84" i="8"/>
  <c r="K84" i="8" s="1"/>
  <c r="I85" i="8"/>
  <c r="I86" i="8"/>
  <c r="K86" i="8" s="1"/>
  <c r="I87" i="8"/>
  <c r="K87" i="8" s="1"/>
  <c r="I88" i="8"/>
  <c r="K88" i="8" s="1"/>
  <c r="I89" i="8"/>
  <c r="K89" i="8" s="1"/>
  <c r="I90" i="8"/>
  <c r="K90" i="8" s="1"/>
  <c r="J92" i="8"/>
  <c r="J93" i="8"/>
  <c r="L95" i="8"/>
  <c r="M95" i="8"/>
  <c r="N95" i="8"/>
  <c r="O95" i="8"/>
  <c r="P95" i="8"/>
  <c r="O98" i="8"/>
  <c r="P98" i="8"/>
  <c r="L99" i="8"/>
  <c r="M99" i="8"/>
  <c r="M97" i="8" s="1"/>
  <c r="N99" i="8"/>
  <c r="N97" i="8" s="1"/>
  <c r="O101" i="8"/>
  <c r="P101" i="8"/>
  <c r="L102" i="8"/>
  <c r="L100" i="8" s="1"/>
  <c r="O100" i="8" s="1"/>
  <c r="M102" i="8"/>
  <c r="P102" i="8" s="1"/>
  <c r="N102" i="8"/>
  <c r="N100" i="8" s="1"/>
  <c r="I108" i="8"/>
  <c r="I92" i="8" s="1"/>
  <c r="K92" i="8" s="1"/>
  <c r="I109" i="8"/>
  <c r="I93" i="8" s="1"/>
  <c r="I117" i="8"/>
  <c r="K117" i="8" s="1"/>
  <c r="L126" i="8"/>
  <c r="M126" i="8"/>
  <c r="N126" i="8"/>
  <c r="O126" i="8"/>
  <c r="P126" i="8"/>
  <c r="O129" i="8"/>
  <c r="P129" i="8"/>
  <c r="L130" i="8"/>
  <c r="M130" i="8"/>
  <c r="M128" i="8" s="1"/>
  <c r="P128" i="8" s="1"/>
  <c r="N130" i="8"/>
  <c r="N128" i="8" s="1"/>
  <c r="O132" i="8"/>
  <c r="P132" i="8"/>
  <c r="L133" i="8"/>
  <c r="L131" i="8" s="1"/>
  <c r="O131" i="8" s="1"/>
  <c r="M133" i="8"/>
  <c r="M131" i="8" s="1"/>
  <c r="P131" i="8" s="1"/>
  <c r="N133" i="8"/>
  <c r="N131" i="8" s="1"/>
  <c r="J136" i="8"/>
  <c r="J137" i="8"/>
  <c r="J138" i="8"/>
  <c r="L140" i="8"/>
  <c r="M140" i="8"/>
  <c r="N140" i="8"/>
  <c r="O140" i="8"/>
  <c r="P140" i="8"/>
  <c r="O143" i="8"/>
  <c r="P143" i="8"/>
  <c r="L144" i="8"/>
  <c r="M144" i="8"/>
  <c r="N144" i="8"/>
  <c r="N142" i="8" s="1"/>
  <c r="O146" i="8"/>
  <c r="P146" i="8"/>
  <c r="L147" i="8"/>
  <c r="L145" i="8" s="1"/>
  <c r="O145" i="8" s="1"/>
  <c r="M147" i="8"/>
  <c r="M145" i="8" s="1"/>
  <c r="P145" i="8" s="1"/>
  <c r="N147" i="8"/>
  <c r="N145" i="8" s="1"/>
  <c r="I150" i="8"/>
  <c r="K150" i="8" s="1"/>
  <c r="I151" i="8"/>
  <c r="K151" i="8" s="1"/>
  <c r="I152" i="8"/>
  <c r="K152" i="8" s="1"/>
  <c r="I153" i="8"/>
  <c r="I138" i="8" s="1"/>
  <c r="K138" i="8" s="1"/>
  <c r="I154" i="8"/>
  <c r="J156" i="8"/>
  <c r="L158" i="8"/>
  <c r="M158" i="8"/>
  <c r="N158" i="8"/>
  <c r="O158" i="8"/>
  <c r="P158" i="8"/>
  <c r="O161" i="8"/>
  <c r="P161" i="8"/>
  <c r="L162" i="8"/>
  <c r="L160" i="8" s="1"/>
  <c r="M162" i="8"/>
  <c r="M160" i="8" s="1"/>
  <c r="P160" i="8" s="1"/>
  <c r="N162" i="8"/>
  <c r="N160" i="8" s="1"/>
  <c r="O164" i="8"/>
  <c r="P164" i="8"/>
  <c r="L165" i="8"/>
  <c r="O165" i="8" s="1"/>
  <c r="M165" i="8"/>
  <c r="M163" i="8" s="1"/>
  <c r="P163" i="8" s="1"/>
  <c r="N165" i="8"/>
  <c r="N163" i="8" s="1"/>
  <c r="I167" i="8"/>
  <c r="I156" i="8" s="1"/>
  <c r="K156" i="8" s="1"/>
  <c r="J172" i="8"/>
  <c r="L174" i="8"/>
  <c r="M174" i="8"/>
  <c r="N174" i="8"/>
  <c r="O174" i="8"/>
  <c r="P174" i="8"/>
  <c r="O177" i="8"/>
  <c r="P177" i="8"/>
  <c r="L178" i="8"/>
  <c r="L176" i="8" s="1"/>
  <c r="M178" i="8"/>
  <c r="M176" i="8" s="1"/>
  <c r="N178" i="8"/>
  <c r="N176" i="8" s="1"/>
  <c r="O180" i="8"/>
  <c r="P180" i="8"/>
  <c r="L181" i="8"/>
  <c r="O181" i="8" s="1"/>
  <c r="M181" i="8"/>
  <c r="N181" i="8"/>
  <c r="N179" i="8" s="1"/>
  <c r="I183" i="8"/>
  <c r="K183" i="8" s="1"/>
  <c r="K184" i="8"/>
  <c r="L187" i="8"/>
  <c r="M187" i="8"/>
  <c r="N187" i="8"/>
  <c r="O187" i="8"/>
  <c r="O190" i="8"/>
  <c r="P190" i="8"/>
  <c r="L191" i="8"/>
  <c r="L189" i="8" s="1"/>
  <c r="M191" i="8"/>
  <c r="M189" i="8" s="1"/>
  <c r="N191" i="8"/>
  <c r="O193" i="8"/>
  <c r="P193" i="8"/>
  <c r="L194" i="8"/>
  <c r="L192" i="8" s="1"/>
  <c r="O192" i="8" s="1"/>
  <c r="M194" i="8"/>
  <c r="N194" i="8"/>
  <c r="N192" i="8" s="1"/>
  <c r="J195" i="8"/>
  <c r="L196" i="8"/>
  <c r="O196" i="8" s="1"/>
  <c r="P196" i="8"/>
  <c r="I198" i="8"/>
  <c r="I195" i="8" s="1"/>
  <c r="K195" i="8" s="1"/>
  <c r="J199" i="8"/>
  <c r="J202" i="8"/>
  <c r="N203" i="8"/>
  <c r="P203" i="8"/>
  <c r="L204" i="8"/>
  <c r="L205" i="8"/>
  <c r="L206" i="8"/>
  <c r="L207" i="8"/>
  <c r="I209" i="8"/>
  <c r="K209" i="8" s="1"/>
  <c r="I211" i="8"/>
  <c r="K211" i="8" s="1"/>
  <c r="I212" i="8"/>
  <c r="K212" i="8" s="1"/>
  <c r="J213" i="8"/>
  <c r="N214" i="8"/>
  <c r="P214" i="8"/>
  <c r="L215" i="8"/>
  <c r="L216" i="8"/>
  <c r="L217" i="8"/>
  <c r="I219" i="8"/>
  <c r="K219" i="8" s="1"/>
  <c r="I220" i="8"/>
  <c r="K220" i="8" s="1"/>
  <c r="J221" i="8"/>
  <c r="N222" i="8"/>
  <c r="P222" i="8"/>
  <c r="L223" i="8"/>
  <c r="L224" i="8"/>
  <c r="L225" i="8"/>
  <c r="I228" i="8"/>
  <c r="K228" i="8" s="1"/>
  <c r="I229" i="8"/>
  <c r="I221" i="8" s="1"/>
  <c r="K221" i="8" s="1"/>
  <c r="I230" i="8"/>
  <c r="J231" i="8"/>
  <c r="J185" i="8" s="1"/>
  <c r="N233" i="8"/>
  <c r="N234" i="8"/>
  <c r="N235" i="8"/>
  <c r="N236" i="8"/>
  <c r="J238" i="8"/>
  <c r="I240" i="8"/>
  <c r="J240" i="8"/>
  <c r="K240" i="8"/>
  <c r="I241" i="8"/>
  <c r="K241" i="8" s="1"/>
  <c r="J241" i="8"/>
  <c r="J242" i="8"/>
  <c r="N243" i="8"/>
  <c r="P243" i="8"/>
  <c r="L244" i="8"/>
  <c r="L245" i="8"/>
  <c r="L246" i="8"/>
  <c r="L247" i="8"/>
  <c r="I249" i="8"/>
  <c r="K251" i="8"/>
  <c r="K252" i="8"/>
  <c r="J253" i="8"/>
  <c r="N254" i="8"/>
  <c r="N232" i="8" s="1"/>
  <c r="P254" i="8"/>
  <c r="L255" i="8"/>
  <c r="L256" i="8"/>
  <c r="L257" i="8"/>
  <c r="L258" i="8"/>
  <c r="I260" i="8"/>
  <c r="K260" i="8" s="1"/>
  <c r="K262" i="8"/>
  <c r="K263" i="8"/>
  <c r="I265" i="8"/>
  <c r="J265" i="8"/>
  <c r="K265" i="8"/>
  <c r="L267" i="8"/>
  <c r="M267" i="8"/>
  <c r="P267" i="8" s="1"/>
  <c r="N267" i="8"/>
  <c r="O267" i="8"/>
  <c r="O270" i="8"/>
  <c r="P270" i="8"/>
  <c r="L271" i="8"/>
  <c r="L269" i="8" s="1"/>
  <c r="O269" i="8" s="1"/>
  <c r="M271" i="8"/>
  <c r="M269" i="8" s="1"/>
  <c r="P269" i="8" s="1"/>
  <c r="N271" i="8"/>
  <c r="N269" i="8" s="1"/>
  <c r="O273" i="8"/>
  <c r="P273" i="8"/>
  <c r="L274" i="8"/>
  <c r="L272" i="8" s="1"/>
  <c r="O272" i="8" s="1"/>
  <c r="M274" i="8"/>
  <c r="M272" i="8" s="1"/>
  <c r="P272" i="8" s="1"/>
  <c r="N274" i="8"/>
  <c r="N272" i="8" s="1"/>
  <c r="J281" i="8"/>
  <c r="L283" i="8"/>
  <c r="M283" i="8"/>
  <c r="N283" i="8"/>
  <c r="O283" i="8"/>
  <c r="P283" i="8"/>
  <c r="O286" i="8"/>
  <c r="P286" i="8"/>
  <c r="L287" i="8"/>
  <c r="O287" i="8" s="1"/>
  <c r="M287" i="8"/>
  <c r="M285" i="8" s="1"/>
  <c r="P285" i="8" s="1"/>
  <c r="N287" i="8"/>
  <c r="N285" i="8" s="1"/>
  <c r="O289" i="8"/>
  <c r="P289" i="8"/>
  <c r="L290" i="8"/>
  <c r="O290" i="8" s="1"/>
  <c r="M290" i="8"/>
  <c r="M288" i="8" s="1"/>
  <c r="P288" i="8" s="1"/>
  <c r="N290" i="8"/>
  <c r="N288" i="8" s="1"/>
  <c r="I292" i="8"/>
  <c r="K292" i="8" s="1"/>
  <c r="I293" i="8"/>
  <c r="J293" i="8"/>
  <c r="J280" i="8" s="1"/>
  <c r="I295" i="8"/>
  <c r="K295" i="8" s="1"/>
  <c r="I296" i="8"/>
  <c r="K296" i="8" s="1"/>
  <c r="J302" i="8"/>
  <c r="L304" i="8"/>
  <c r="M304" i="8"/>
  <c r="P304" i="8" s="1"/>
  <c r="N304" i="8"/>
  <c r="O304" i="8"/>
  <c r="O307" i="8"/>
  <c r="P307" i="8"/>
  <c r="L308" i="8"/>
  <c r="L306" i="8" s="1"/>
  <c r="M308" i="8"/>
  <c r="M306" i="8" s="1"/>
  <c r="N308" i="8"/>
  <c r="O310" i="8"/>
  <c r="P310" i="8"/>
  <c r="L311" i="8"/>
  <c r="L309" i="8" s="1"/>
  <c r="O309" i="8" s="1"/>
  <c r="M311" i="8"/>
  <c r="M309" i="8" s="1"/>
  <c r="P309" i="8" s="1"/>
  <c r="N311" i="8"/>
  <c r="N309" i="8" s="1"/>
  <c r="I314" i="8"/>
  <c r="I302" i="8" s="1"/>
  <c r="K302" i="8" s="1"/>
  <c r="I315" i="8"/>
  <c r="K315" i="8" s="1"/>
  <c r="I316" i="8"/>
  <c r="K316" i="8" s="1"/>
  <c r="I317" i="8"/>
  <c r="K317" i="8" s="1"/>
  <c r="J319" i="8"/>
  <c r="L321" i="8"/>
  <c r="M321" i="8"/>
  <c r="N321" i="8"/>
  <c r="O321" i="8"/>
  <c r="O324" i="8"/>
  <c r="P324" i="8"/>
  <c r="L325" i="8"/>
  <c r="O325" i="8" s="1"/>
  <c r="M325" i="8"/>
  <c r="P325" i="8" s="1"/>
  <c r="N325" i="8"/>
  <c r="N323" i="8" s="1"/>
  <c r="O327" i="8"/>
  <c r="P327" i="8"/>
  <c r="L328" i="8"/>
  <c r="O328" i="8" s="1"/>
  <c r="M328" i="8"/>
  <c r="P328" i="8" s="1"/>
  <c r="N328" i="8"/>
  <c r="I330" i="8"/>
  <c r="K330" i="8" s="1"/>
  <c r="L334" i="8"/>
  <c r="M334" i="8"/>
  <c r="N334" i="8"/>
  <c r="O334" i="8"/>
  <c r="P334" i="8"/>
  <c r="O337" i="8"/>
  <c r="P337" i="8"/>
  <c r="L338" i="8"/>
  <c r="M338" i="8"/>
  <c r="N338" i="8"/>
  <c r="O340" i="8"/>
  <c r="P340" i="8"/>
  <c r="L341" i="8"/>
  <c r="O341" i="8" s="1"/>
  <c r="M341" i="8"/>
  <c r="P341" i="8" s="1"/>
  <c r="N341" i="8"/>
  <c r="N339" i="8" s="1"/>
  <c r="I344" i="8"/>
  <c r="J344" i="8"/>
  <c r="I346" i="8"/>
  <c r="J346" i="8"/>
  <c r="J347" i="8"/>
  <c r="J348" i="8"/>
  <c r="J349" i="8"/>
  <c r="D350" i="8"/>
  <c r="J352" i="8"/>
  <c r="J353" i="8"/>
  <c r="D354" i="8"/>
  <c r="L357" i="8"/>
  <c r="M357" i="8"/>
  <c r="P357" i="8" s="1"/>
  <c r="N357" i="8"/>
  <c r="O360" i="8"/>
  <c r="P360" i="8"/>
  <c r="L361" i="8"/>
  <c r="M361" i="8"/>
  <c r="N361" i="8"/>
  <c r="N359" i="8" s="1"/>
  <c r="O363" i="8"/>
  <c r="P363" i="8"/>
  <c r="L364" i="8"/>
  <c r="O364" i="8" s="1"/>
  <c r="M364" i="8"/>
  <c r="P364" i="8" s="1"/>
  <c r="N364" i="8"/>
  <c r="N362" i="8" s="1"/>
  <c r="J367" i="8"/>
  <c r="K367" i="8"/>
  <c r="I368" i="8"/>
  <c r="J368" i="8"/>
  <c r="I369" i="8"/>
  <c r="J369" i="8"/>
  <c r="J370" i="8"/>
  <c r="K370" i="8"/>
  <c r="I371" i="8"/>
  <c r="J371" i="8"/>
  <c r="J365" i="8" s="1"/>
  <c r="J372" i="8"/>
  <c r="K372" i="8"/>
  <c r="D373" i="8"/>
  <c r="I376" i="8"/>
  <c r="K376" i="8" s="1"/>
  <c r="J376" i="8"/>
  <c r="L378" i="8"/>
  <c r="M378" i="8"/>
  <c r="N378" i="8"/>
  <c r="P378" i="8"/>
  <c r="O381" i="8"/>
  <c r="P381" i="8"/>
  <c r="L382" i="8"/>
  <c r="O382" i="8" s="1"/>
  <c r="M382" i="8"/>
  <c r="N382" i="8"/>
  <c r="N380" i="8" s="1"/>
  <c r="O384" i="8"/>
  <c r="P384" i="8"/>
  <c r="L385" i="8"/>
  <c r="O385" i="8" s="1"/>
  <c r="M385" i="8"/>
  <c r="P385" i="8" s="1"/>
  <c r="N385" i="8"/>
  <c r="N383" i="8" s="1"/>
  <c r="K387" i="8"/>
  <c r="K388" i="8"/>
  <c r="A391" i="8"/>
  <c r="L22" i="7"/>
  <c r="O22" i="7" s="1"/>
  <c r="M22" i="7"/>
  <c r="N22" i="7"/>
  <c r="L25" i="7"/>
  <c r="M25" i="7"/>
  <c r="P25" i="7" s="1"/>
  <c r="N25" i="7"/>
  <c r="N19" i="7" s="1"/>
  <c r="L45" i="7"/>
  <c r="O45" i="7" s="1"/>
  <c r="M45" i="7"/>
  <c r="P45" i="7" s="1"/>
  <c r="N45" i="7"/>
  <c r="O48" i="7"/>
  <c r="P48" i="7"/>
  <c r="L49" i="7"/>
  <c r="L47" i="7" s="1"/>
  <c r="M49" i="7"/>
  <c r="N49" i="7"/>
  <c r="O51" i="7"/>
  <c r="P51" i="7"/>
  <c r="L52" i="7"/>
  <c r="L50" i="7" s="1"/>
  <c r="O50" i="7" s="1"/>
  <c r="M52" i="7"/>
  <c r="N52" i="7"/>
  <c r="L60" i="7"/>
  <c r="M60" i="7"/>
  <c r="N60" i="7"/>
  <c r="P60" i="7"/>
  <c r="O63" i="7"/>
  <c r="P63" i="7"/>
  <c r="L64" i="7"/>
  <c r="M64" i="7"/>
  <c r="M62" i="7" s="1"/>
  <c r="N64" i="7"/>
  <c r="O66" i="7"/>
  <c r="P66" i="7"/>
  <c r="L67" i="7"/>
  <c r="O67" i="7" s="1"/>
  <c r="M67" i="7"/>
  <c r="M65" i="7" s="1"/>
  <c r="P65" i="7" s="1"/>
  <c r="N67" i="7"/>
  <c r="N65" i="7" s="1"/>
  <c r="L73" i="7"/>
  <c r="M73" i="7"/>
  <c r="N73" i="7"/>
  <c r="P73" i="7"/>
  <c r="O76" i="7"/>
  <c r="P76" i="7"/>
  <c r="L77" i="7"/>
  <c r="L75" i="7" s="1"/>
  <c r="O75" i="7" s="1"/>
  <c r="M77" i="7"/>
  <c r="N77" i="7"/>
  <c r="N75" i="7" s="1"/>
  <c r="O79" i="7"/>
  <c r="P79" i="7"/>
  <c r="L80" i="7"/>
  <c r="L78" i="7" s="1"/>
  <c r="O78" i="7" s="1"/>
  <c r="M80" i="7"/>
  <c r="N80" i="7"/>
  <c r="N78" i="7" s="1"/>
  <c r="J82" i="7"/>
  <c r="J70" i="7" s="1"/>
  <c r="J83" i="7"/>
  <c r="J71" i="7" s="1"/>
  <c r="I84" i="7"/>
  <c r="K84" i="7" s="1"/>
  <c r="I85" i="7"/>
  <c r="K85" i="7" s="1"/>
  <c r="I86" i="7"/>
  <c r="K86" i="7" s="1"/>
  <c r="I87" i="7"/>
  <c r="K87" i="7" s="1"/>
  <c r="I88" i="7"/>
  <c r="K88" i="7" s="1"/>
  <c r="I89" i="7"/>
  <c r="K89" i="7" s="1"/>
  <c r="I90" i="7"/>
  <c r="K90" i="7" s="1"/>
  <c r="J92" i="7"/>
  <c r="J93" i="7"/>
  <c r="L95" i="7"/>
  <c r="O95" i="7" s="1"/>
  <c r="M95" i="7"/>
  <c r="P95" i="7" s="1"/>
  <c r="N95" i="7"/>
  <c r="O98" i="7"/>
  <c r="P98" i="7"/>
  <c r="L99" i="7"/>
  <c r="L97" i="7" s="1"/>
  <c r="M99" i="7"/>
  <c r="M97" i="7" s="1"/>
  <c r="N99" i="7"/>
  <c r="N97" i="7" s="1"/>
  <c r="O101" i="7"/>
  <c r="P101" i="7"/>
  <c r="L102" i="7"/>
  <c r="M102" i="7"/>
  <c r="M100" i="7" s="1"/>
  <c r="P100" i="7" s="1"/>
  <c r="N102" i="7"/>
  <c r="N100" i="7" s="1"/>
  <c r="I108" i="7"/>
  <c r="K108" i="7" s="1"/>
  <c r="I109" i="7"/>
  <c r="I93" i="7" s="1"/>
  <c r="I117" i="7"/>
  <c r="K117" i="7" s="1"/>
  <c r="L126" i="7"/>
  <c r="M126" i="7"/>
  <c r="N126" i="7"/>
  <c r="O126" i="7"/>
  <c r="P126" i="7"/>
  <c r="O129" i="7"/>
  <c r="P129" i="7"/>
  <c r="L130" i="7"/>
  <c r="M130" i="7"/>
  <c r="N130" i="7"/>
  <c r="N128" i="7" s="1"/>
  <c r="O132" i="7"/>
  <c r="P132" i="7"/>
  <c r="L133" i="7"/>
  <c r="L131" i="7" s="1"/>
  <c r="O131" i="7" s="1"/>
  <c r="M133" i="7"/>
  <c r="M131" i="7" s="1"/>
  <c r="P131" i="7" s="1"/>
  <c r="N133" i="7"/>
  <c r="N131" i="7" s="1"/>
  <c r="J136" i="7"/>
  <c r="J137" i="7"/>
  <c r="J138" i="7"/>
  <c r="L140" i="7"/>
  <c r="O140" i="7" s="1"/>
  <c r="M140" i="7"/>
  <c r="P140" i="7" s="1"/>
  <c r="N140" i="7"/>
  <c r="O143" i="7"/>
  <c r="P143" i="7"/>
  <c r="L144" i="7"/>
  <c r="L142" i="7" s="1"/>
  <c r="M144" i="7"/>
  <c r="M142" i="7" s="1"/>
  <c r="N144" i="7"/>
  <c r="O146" i="7"/>
  <c r="P146" i="7"/>
  <c r="L147" i="7"/>
  <c r="O147" i="7" s="1"/>
  <c r="M147" i="7"/>
  <c r="N147" i="7"/>
  <c r="N145" i="7" s="1"/>
  <c r="I150" i="7"/>
  <c r="K150" i="7" s="1"/>
  <c r="I151" i="7"/>
  <c r="K151" i="7" s="1"/>
  <c r="I152" i="7"/>
  <c r="I137" i="7" s="1"/>
  <c r="K137" i="7" s="1"/>
  <c r="I153" i="7"/>
  <c r="I138" i="7" s="1"/>
  <c r="K138" i="7" s="1"/>
  <c r="I154" i="7"/>
  <c r="K154" i="7" s="1"/>
  <c r="J156" i="7"/>
  <c r="L158" i="7"/>
  <c r="O158" i="7" s="1"/>
  <c r="M158" i="7"/>
  <c r="N158" i="7"/>
  <c r="O161" i="7"/>
  <c r="P161" i="7"/>
  <c r="L162" i="7"/>
  <c r="M162" i="7"/>
  <c r="P162" i="7" s="1"/>
  <c r="N162" i="7"/>
  <c r="O164" i="7"/>
  <c r="P164" i="7"/>
  <c r="L165" i="7"/>
  <c r="L163" i="7" s="1"/>
  <c r="O163" i="7" s="1"/>
  <c r="M165" i="7"/>
  <c r="P165" i="7" s="1"/>
  <c r="N165" i="7"/>
  <c r="N163" i="7" s="1"/>
  <c r="I167" i="7"/>
  <c r="K167" i="7" s="1"/>
  <c r="J172" i="7"/>
  <c r="L174" i="7"/>
  <c r="O174" i="7" s="1"/>
  <c r="M174" i="7"/>
  <c r="N174" i="7"/>
  <c r="O177" i="7"/>
  <c r="P177" i="7"/>
  <c r="L178" i="7"/>
  <c r="L176" i="7" s="1"/>
  <c r="M178" i="7"/>
  <c r="M176" i="7" s="1"/>
  <c r="N178" i="7"/>
  <c r="O180" i="7"/>
  <c r="P180" i="7"/>
  <c r="L181" i="7"/>
  <c r="L179" i="7" s="1"/>
  <c r="O179" i="7" s="1"/>
  <c r="M181" i="7"/>
  <c r="P181" i="7" s="1"/>
  <c r="N181" i="7"/>
  <c r="N179" i="7" s="1"/>
  <c r="I183" i="7"/>
  <c r="K183" i="7" s="1"/>
  <c r="K184" i="7"/>
  <c r="L187" i="7"/>
  <c r="M187" i="7"/>
  <c r="N187" i="7"/>
  <c r="O187" i="7"/>
  <c r="O190" i="7"/>
  <c r="P190" i="7"/>
  <c r="L191" i="7"/>
  <c r="L189" i="7" s="1"/>
  <c r="M191" i="7"/>
  <c r="M189" i="7" s="1"/>
  <c r="N191" i="7"/>
  <c r="N189" i="7" s="1"/>
  <c r="O193" i="7"/>
  <c r="P193" i="7"/>
  <c r="L194" i="7"/>
  <c r="L192" i="7" s="1"/>
  <c r="O192" i="7" s="1"/>
  <c r="M194" i="7"/>
  <c r="M192" i="7" s="1"/>
  <c r="P192" i="7" s="1"/>
  <c r="N194" i="7"/>
  <c r="N192" i="7" s="1"/>
  <c r="J195" i="7"/>
  <c r="L196" i="7"/>
  <c r="O196" i="7" s="1"/>
  <c r="P196" i="7"/>
  <c r="I198" i="7"/>
  <c r="K198" i="7" s="1"/>
  <c r="J199" i="7"/>
  <c r="J202" i="7"/>
  <c r="N203" i="7"/>
  <c r="P203" i="7"/>
  <c r="L204" i="7"/>
  <c r="L205" i="7"/>
  <c r="L206" i="7"/>
  <c r="L207" i="7"/>
  <c r="I209" i="7"/>
  <c r="K209" i="7" s="1"/>
  <c r="I211" i="7"/>
  <c r="K211" i="7" s="1"/>
  <c r="I212" i="7"/>
  <c r="K212" i="7" s="1"/>
  <c r="J213" i="7"/>
  <c r="N214" i="7"/>
  <c r="P214" i="7"/>
  <c r="L215" i="7"/>
  <c r="L216" i="7"/>
  <c r="L217" i="7"/>
  <c r="I219" i="7"/>
  <c r="K219" i="7" s="1"/>
  <c r="I220" i="7"/>
  <c r="I213" i="7" s="1"/>
  <c r="K213" i="7" s="1"/>
  <c r="J221" i="7"/>
  <c r="N222" i="7"/>
  <c r="P222" i="7"/>
  <c r="L223" i="7"/>
  <c r="L224" i="7"/>
  <c r="L225" i="7"/>
  <c r="I228" i="7"/>
  <c r="K228" i="7" s="1"/>
  <c r="I229" i="7"/>
  <c r="I221" i="7" s="1"/>
  <c r="I230" i="7"/>
  <c r="J231" i="7"/>
  <c r="J185" i="7" s="1"/>
  <c r="N233" i="7"/>
  <c r="N234" i="7"/>
  <c r="N235" i="7"/>
  <c r="N236" i="7"/>
  <c r="J238" i="7"/>
  <c r="I240" i="7"/>
  <c r="K240" i="7" s="1"/>
  <c r="J240" i="7"/>
  <c r="I241" i="7"/>
  <c r="J241" i="7"/>
  <c r="K241" i="7"/>
  <c r="J242" i="7"/>
  <c r="N243" i="7"/>
  <c r="N232" i="7" s="1"/>
  <c r="P243" i="7"/>
  <c r="L244" i="7"/>
  <c r="L245" i="7"/>
  <c r="L246" i="7"/>
  <c r="L247" i="7"/>
  <c r="I249" i="7"/>
  <c r="I242" i="7" s="1"/>
  <c r="K251" i="7"/>
  <c r="K252" i="7"/>
  <c r="J253" i="7"/>
  <c r="N254" i="7"/>
  <c r="P254" i="7"/>
  <c r="L255" i="7"/>
  <c r="L256" i="7"/>
  <c r="L257" i="7"/>
  <c r="L258" i="7"/>
  <c r="I260" i="7"/>
  <c r="K260" i="7" s="1"/>
  <c r="K262" i="7"/>
  <c r="K263" i="7"/>
  <c r="I265" i="7"/>
  <c r="K265" i="7" s="1"/>
  <c r="J265" i="7"/>
  <c r="L267" i="7"/>
  <c r="O267" i="7" s="1"/>
  <c r="M267" i="7"/>
  <c r="P267" i="7" s="1"/>
  <c r="N267" i="7"/>
  <c r="O270" i="7"/>
  <c r="P270" i="7"/>
  <c r="L271" i="7"/>
  <c r="L269" i="7" s="1"/>
  <c r="O269" i="7" s="1"/>
  <c r="M271" i="7"/>
  <c r="N271" i="7"/>
  <c r="N269" i="7" s="1"/>
  <c r="O273" i="7"/>
  <c r="P273" i="7"/>
  <c r="L274" i="7"/>
  <c r="L272" i="7" s="1"/>
  <c r="O272" i="7" s="1"/>
  <c r="M274" i="7"/>
  <c r="M272" i="7" s="1"/>
  <c r="P272" i="7" s="1"/>
  <c r="N274" i="7"/>
  <c r="N272" i="7" s="1"/>
  <c r="J280" i="7"/>
  <c r="J281" i="7"/>
  <c r="L283" i="7"/>
  <c r="O283" i="7" s="1"/>
  <c r="M283" i="7"/>
  <c r="N283" i="7"/>
  <c r="O286" i="7"/>
  <c r="P286" i="7"/>
  <c r="L287" i="7"/>
  <c r="O287" i="7" s="1"/>
  <c r="M287" i="7"/>
  <c r="P287" i="7" s="1"/>
  <c r="N287" i="7"/>
  <c r="N285" i="7" s="1"/>
  <c r="O289" i="7"/>
  <c r="P289" i="7"/>
  <c r="L290" i="7"/>
  <c r="L288" i="7" s="1"/>
  <c r="O288" i="7" s="1"/>
  <c r="M290" i="7"/>
  <c r="P290" i="7" s="1"/>
  <c r="N290" i="7"/>
  <c r="N288" i="7" s="1"/>
  <c r="I292" i="7"/>
  <c r="I281" i="7" s="1"/>
  <c r="K281" i="7" s="1"/>
  <c r="I293" i="7"/>
  <c r="J293" i="7"/>
  <c r="I295" i="7"/>
  <c r="K295" i="7" s="1"/>
  <c r="I296" i="7"/>
  <c r="K296" i="7" s="1"/>
  <c r="J302" i="7"/>
  <c r="L304" i="7"/>
  <c r="M304" i="7"/>
  <c r="N304" i="7"/>
  <c r="O304" i="7"/>
  <c r="O307" i="7"/>
  <c r="P307" i="7"/>
  <c r="L308" i="7"/>
  <c r="L306" i="7" s="1"/>
  <c r="O306" i="7" s="1"/>
  <c r="M308" i="7"/>
  <c r="N308" i="7"/>
  <c r="N306" i="7" s="1"/>
  <c r="O310" i="7"/>
  <c r="P310" i="7"/>
  <c r="L311" i="7"/>
  <c r="L309" i="7" s="1"/>
  <c r="O309" i="7" s="1"/>
  <c r="M311" i="7"/>
  <c r="M309" i="7" s="1"/>
  <c r="P309" i="7" s="1"/>
  <c r="N311" i="7"/>
  <c r="I314" i="7"/>
  <c r="I302" i="7" s="1"/>
  <c r="K302" i="7" s="1"/>
  <c r="I315" i="7"/>
  <c r="K315" i="7" s="1"/>
  <c r="I316" i="7"/>
  <c r="K316" i="7" s="1"/>
  <c r="I317" i="7"/>
  <c r="K317" i="7" s="1"/>
  <c r="J319" i="7"/>
  <c r="L321" i="7"/>
  <c r="M321" i="7"/>
  <c r="N321" i="7"/>
  <c r="O324" i="7"/>
  <c r="P324" i="7"/>
  <c r="L325" i="7"/>
  <c r="L323" i="7" s="1"/>
  <c r="O323" i="7" s="1"/>
  <c r="M325" i="7"/>
  <c r="M323" i="7" s="1"/>
  <c r="P323" i="7" s="1"/>
  <c r="N325" i="7"/>
  <c r="N323" i="7" s="1"/>
  <c r="O327" i="7"/>
  <c r="P327" i="7"/>
  <c r="L328" i="7"/>
  <c r="L326" i="7" s="1"/>
  <c r="O326" i="7" s="1"/>
  <c r="M328" i="7"/>
  <c r="M326" i="7" s="1"/>
  <c r="P326" i="7" s="1"/>
  <c r="N328" i="7"/>
  <c r="N326" i="7" s="1"/>
  <c r="I330" i="7"/>
  <c r="I319" i="7" s="1"/>
  <c r="K319" i="7" s="1"/>
  <c r="L334" i="7"/>
  <c r="O334" i="7" s="1"/>
  <c r="M334" i="7"/>
  <c r="N334" i="7"/>
  <c r="P334" i="7"/>
  <c r="O337" i="7"/>
  <c r="P337" i="7"/>
  <c r="L338" i="7"/>
  <c r="L336" i="7" s="1"/>
  <c r="M338" i="7"/>
  <c r="M336" i="7" s="1"/>
  <c r="N338" i="7"/>
  <c r="N336" i="7" s="1"/>
  <c r="O340" i="7"/>
  <c r="P340" i="7"/>
  <c r="L341" i="7"/>
  <c r="M341" i="7"/>
  <c r="M339" i="7" s="1"/>
  <c r="P339" i="7" s="1"/>
  <c r="N341" i="7"/>
  <c r="N339" i="7" s="1"/>
  <c r="I344" i="7"/>
  <c r="J344" i="7"/>
  <c r="I346" i="7"/>
  <c r="J346" i="7"/>
  <c r="J347" i="7"/>
  <c r="J348" i="7"/>
  <c r="J349" i="7"/>
  <c r="D350" i="7"/>
  <c r="J352" i="7"/>
  <c r="J353" i="7"/>
  <c r="D354" i="7"/>
  <c r="L357" i="7"/>
  <c r="M357" i="7"/>
  <c r="P357" i="7" s="1"/>
  <c r="N357" i="7"/>
  <c r="O360" i="7"/>
  <c r="P360" i="7"/>
  <c r="L361" i="7"/>
  <c r="M361" i="7"/>
  <c r="N361" i="7"/>
  <c r="N359" i="7" s="1"/>
  <c r="O363" i="7"/>
  <c r="P363" i="7"/>
  <c r="L364" i="7"/>
  <c r="M364" i="7"/>
  <c r="P364" i="7" s="1"/>
  <c r="N364" i="7"/>
  <c r="N362" i="7" s="1"/>
  <c r="J367" i="7"/>
  <c r="K367" i="7"/>
  <c r="I368" i="7"/>
  <c r="J368" i="7"/>
  <c r="I369" i="7"/>
  <c r="J369" i="7"/>
  <c r="J370" i="7"/>
  <c r="K370" i="7"/>
  <c r="I371" i="7"/>
  <c r="J371" i="7"/>
  <c r="J365" i="7" s="1"/>
  <c r="J372" i="7"/>
  <c r="K372" i="7"/>
  <c r="D373" i="7"/>
  <c r="I376" i="7"/>
  <c r="K376" i="7" s="1"/>
  <c r="J376" i="7"/>
  <c r="L378" i="7"/>
  <c r="O378" i="7" s="1"/>
  <c r="M378" i="7"/>
  <c r="N378" i="7"/>
  <c r="O381" i="7"/>
  <c r="P381" i="7"/>
  <c r="L382" i="7"/>
  <c r="O382" i="7" s="1"/>
  <c r="M382" i="7"/>
  <c r="M380" i="7" s="1"/>
  <c r="P380" i="7" s="1"/>
  <c r="N382" i="7"/>
  <c r="N380" i="7" s="1"/>
  <c r="O384" i="7"/>
  <c r="P384" i="7"/>
  <c r="L385" i="7"/>
  <c r="O385" i="7" s="1"/>
  <c r="M385" i="7"/>
  <c r="P385" i="7" s="1"/>
  <c r="N385" i="7"/>
  <c r="N383" i="7" s="1"/>
  <c r="K387" i="7"/>
  <c r="K388" i="7"/>
  <c r="A391" i="7"/>
  <c r="M19" i="6"/>
  <c r="L22" i="6"/>
  <c r="M22" i="6"/>
  <c r="N22" i="6"/>
  <c r="O22" i="6"/>
  <c r="P22" i="6"/>
  <c r="L25" i="6"/>
  <c r="O25" i="6" s="1"/>
  <c r="M25" i="6"/>
  <c r="N25" i="6"/>
  <c r="L45" i="6"/>
  <c r="M45" i="6"/>
  <c r="N45" i="6"/>
  <c r="O48" i="6"/>
  <c r="P48" i="6"/>
  <c r="L49" i="6"/>
  <c r="M49" i="6"/>
  <c r="N49" i="6"/>
  <c r="N47" i="6" s="1"/>
  <c r="O51" i="6"/>
  <c r="P51" i="6"/>
  <c r="L52" i="6"/>
  <c r="L50" i="6" s="1"/>
  <c r="O50" i="6" s="1"/>
  <c r="M52" i="6"/>
  <c r="P52" i="6" s="1"/>
  <c r="N52" i="6"/>
  <c r="N50" i="6" s="1"/>
  <c r="L60" i="6"/>
  <c r="O60" i="6" s="1"/>
  <c r="M60" i="6"/>
  <c r="P60" i="6" s="1"/>
  <c r="N60" i="6"/>
  <c r="O63" i="6"/>
  <c r="P63" i="6"/>
  <c r="L64" i="6"/>
  <c r="L62" i="6" s="1"/>
  <c r="M64" i="6"/>
  <c r="M62" i="6" s="1"/>
  <c r="N64" i="6"/>
  <c r="O66" i="6"/>
  <c r="P66" i="6"/>
  <c r="L67" i="6"/>
  <c r="O67" i="6" s="1"/>
  <c r="M67" i="6"/>
  <c r="M65" i="6" s="1"/>
  <c r="P65" i="6" s="1"/>
  <c r="N67" i="6"/>
  <c r="N65" i="6" s="1"/>
  <c r="J71" i="6"/>
  <c r="L73" i="6"/>
  <c r="M73" i="6"/>
  <c r="N73" i="6"/>
  <c r="P73" i="6"/>
  <c r="O76" i="6"/>
  <c r="P76" i="6"/>
  <c r="L77" i="6"/>
  <c r="O77" i="6" s="1"/>
  <c r="M77" i="6"/>
  <c r="M75" i="6" s="1"/>
  <c r="P75" i="6" s="1"/>
  <c r="N77" i="6"/>
  <c r="N75" i="6" s="1"/>
  <c r="O79" i="6"/>
  <c r="P79" i="6"/>
  <c r="L80" i="6"/>
  <c r="O80" i="6" s="1"/>
  <c r="M80" i="6"/>
  <c r="N80" i="6"/>
  <c r="N78" i="6" s="1"/>
  <c r="J82" i="6"/>
  <c r="J70" i="6" s="1"/>
  <c r="J83" i="6"/>
  <c r="I84" i="6"/>
  <c r="K84" i="6" s="1"/>
  <c r="I85" i="6"/>
  <c r="I86" i="6"/>
  <c r="K86" i="6" s="1"/>
  <c r="I87" i="6"/>
  <c r="K87" i="6" s="1"/>
  <c r="I88" i="6"/>
  <c r="K88" i="6" s="1"/>
  <c r="I89" i="6"/>
  <c r="K89" i="6" s="1"/>
  <c r="I90" i="6"/>
  <c r="K90" i="6" s="1"/>
  <c r="J92" i="6"/>
  <c r="J93" i="6"/>
  <c r="L95" i="6"/>
  <c r="M95" i="6"/>
  <c r="N95" i="6"/>
  <c r="O98" i="6"/>
  <c r="P98" i="6"/>
  <c r="L99" i="6"/>
  <c r="M99" i="6"/>
  <c r="N99" i="6"/>
  <c r="N97" i="6" s="1"/>
  <c r="O101" i="6"/>
  <c r="P101" i="6"/>
  <c r="L102" i="6"/>
  <c r="M102" i="6"/>
  <c r="P102" i="6" s="1"/>
  <c r="N102" i="6"/>
  <c r="N100" i="6" s="1"/>
  <c r="I108" i="6"/>
  <c r="I92" i="6" s="1"/>
  <c r="K92" i="6" s="1"/>
  <c r="I109" i="6"/>
  <c r="I117" i="6"/>
  <c r="K117" i="6" s="1"/>
  <c r="L126" i="6"/>
  <c r="O126" i="6" s="1"/>
  <c r="M126" i="6"/>
  <c r="P126" i="6" s="1"/>
  <c r="N126" i="6"/>
  <c r="O129" i="6"/>
  <c r="P129" i="6"/>
  <c r="L130" i="6"/>
  <c r="M130" i="6"/>
  <c r="M128" i="6" s="1"/>
  <c r="P128" i="6" s="1"/>
  <c r="N130" i="6"/>
  <c r="O132" i="6"/>
  <c r="P132" i="6"/>
  <c r="L133" i="6"/>
  <c r="M133" i="6"/>
  <c r="M131" i="6" s="1"/>
  <c r="P131" i="6" s="1"/>
  <c r="N133" i="6"/>
  <c r="N131" i="6" s="1"/>
  <c r="J136" i="6"/>
  <c r="J137" i="6"/>
  <c r="J138" i="6"/>
  <c r="L140" i="6"/>
  <c r="O140" i="6" s="1"/>
  <c r="M140" i="6"/>
  <c r="P140" i="6" s="1"/>
  <c r="N140" i="6"/>
  <c r="O143" i="6"/>
  <c r="P143" i="6"/>
  <c r="L144" i="6"/>
  <c r="L142" i="6" s="1"/>
  <c r="M144" i="6"/>
  <c r="M142" i="6" s="1"/>
  <c r="N144" i="6"/>
  <c r="O146" i="6"/>
  <c r="P146" i="6"/>
  <c r="L147" i="6"/>
  <c r="L145" i="6" s="1"/>
  <c r="O145" i="6" s="1"/>
  <c r="M147" i="6"/>
  <c r="M145" i="6" s="1"/>
  <c r="P145" i="6" s="1"/>
  <c r="N147" i="6"/>
  <c r="N145" i="6" s="1"/>
  <c r="I150" i="6"/>
  <c r="K150" i="6" s="1"/>
  <c r="I151" i="6"/>
  <c r="K151" i="6" s="1"/>
  <c r="I152" i="6"/>
  <c r="I137" i="6" s="1"/>
  <c r="I153" i="6"/>
  <c r="I138" i="6" s="1"/>
  <c r="K138" i="6" s="1"/>
  <c r="I154" i="6"/>
  <c r="I136" i="6" s="1"/>
  <c r="K136" i="6" s="1"/>
  <c r="J156" i="6"/>
  <c r="L158" i="6"/>
  <c r="O158" i="6" s="1"/>
  <c r="M158" i="6"/>
  <c r="P158" i="6" s="1"/>
  <c r="N158" i="6"/>
  <c r="O161" i="6"/>
  <c r="P161" i="6"/>
  <c r="L162" i="6"/>
  <c r="M162" i="6"/>
  <c r="M160" i="6" s="1"/>
  <c r="P160" i="6" s="1"/>
  <c r="N162" i="6"/>
  <c r="N160" i="6" s="1"/>
  <c r="O164" i="6"/>
  <c r="P164" i="6"/>
  <c r="L165" i="6"/>
  <c r="M165" i="6"/>
  <c r="P165" i="6" s="1"/>
  <c r="N165" i="6"/>
  <c r="N163" i="6" s="1"/>
  <c r="I167" i="6"/>
  <c r="I156" i="6" s="1"/>
  <c r="K156" i="6" s="1"/>
  <c r="J172" i="6"/>
  <c r="L174" i="6"/>
  <c r="M174" i="6"/>
  <c r="N174" i="6"/>
  <c r="P174" i="6"/>
  <c r="O177" i="6"/>
  <c r="P177" i="6"/>
  <c r="L178" i="6"/>
  <c r="M178" i="6"/>
  <c r="M176" i="6" s="1"/>
  <c r="N178" i="6"/>
  <c r="O180" i="6"/>
  <c r="P180" i="6"/>
  <c r="L181" i="6"/>
  <c r="M181" i="6"/>
  <c r="P181" i="6" s="1"/>
  <c r="N181" i="6"/>
  <c r="N179" i="6" s="1"/>
  <c r="I183" i="6"/>
  <c r="I172" i="6" s="1"/>
  <c r="K184" i="6"/>
  <c r="L187" i="6"/>
  <c r="O187" i="6" s="1"/>
  <c r="M187" i="6"/>
  <c r="P187" i="6" s="1"/>
  <c r="N187" i="6"/>
  <c r="O190" i="6"/>
  <c r="P190" i="6"/>
  <c r="L191" i="6"/>
  <c r="L189" i="6" s="1"/>
  <c r="M191" i="6"/>
  <c r="M189" i="6" s="1"/>
  <c r="N191" i="6"/>
  <c r="N189" i="6" s="1"/>
  <c r="O193" i="6"/>
  <c r="P193" i="6"/>
  <c r="L194" i="6"/>
  <c r="O194" i="6" s="1"/>
  <c r="M194" i="6"/>
  <c r="M192" i="6" s="1"/>
  <c r="P192" i="6" s="1"/>
  <c r="N194" i="6"/>
  <c r="N192" i="6" s="1"/>
  <c r="J195" i="6"/>
  <c r="L196" i="6"/>
  <c r="O196" i="6" s="1"/>
  <c r="P196" i="6"/>
  <c r="I198" i="6"/>
  <c r="I195" i="6" s="1"/>
  <c r="K195" i="6" s="1"/>
  <c r="J199" i="6"/>
  <c r="J202" i="6"/>
  <c r="N203" i="6"/>
  <c r="P203" i="6"/>
  <c r="L204" i="6"/>
  <c r="L205" i="6"/>
  <c r="L206" i="6"/>
  <c r="L207" i="6"/>
  <c r="I209" i="6"/>
  <c r="I202" i="6" s="1"/>
  <c r="K202" i="6" s="1"/>
  <c r="I211" i="6"/>
  <c r="K211" i="6" s="1"/>
  <c r="I212" i="6"/>
  <c r="K212" i="6" s="1"/>
  <c r="J213" i="6"/>
  <c r="N214" i="6"/>
  <c r="P214" i="6"/>
  <c r="L215" i="6"/>
  <c r="L216" i="6"/>
  <c r="L217" i="6"/>
  <c r="I219" i="6"/>
  <c r="K219" i="6" s="1"/>
  <c r="I220" i="6"/>
  <c r="I213" i="6" s="1"/>
  <c r="K213" i="6" s="1"/>
  <c r="J221" i="6"/>
  <c r="N222" i="6"/>
  <c r="P222" i="6"/>
  <c r="L223" i="6"/>
  <c r="L224" i="6"/>
  <c r="L225" i="6"/>
  <c r="I228" i="6"/>
  <c r="K228" i="6" s="1"/>
  <c r="I229" i="6"/>
  <c r="I221" i="6" s="1"/>
  <c r="K221" i="6" s="1"/>
  <c r="I230" i="6"/>
  <c r="K230" i="6" s="1"/>
  <c r="N233" i="6"/>
  <c r="N234" i="6"/>
  <c r="N235" i="6"/>
  <c r="N236" i="6"/>
  <c r="J238" i="6"/>
  <c r="I240" i="6"/>
  <c r="K240" i="6" s="1"/>
  <c r="J240" i="6"/>
  <c r="I241" i="6"/>
  <c r="K241" i="6" s="1"/>
  <c r="J241" i="6"/>
  <c r="J242" i="6"/>
  <c r="N243" i="6"/>
  <c r="N232" i="6" s="1"/>
  <c r="P243" i="6"/>
  <c r="L244" i="6"/>
  <c r="L245" i="6"/>
  <c r="L246" i="6"/>
  <c r="L247" i="6"/>
  <c r="I249" i="6"/>
  <c r="I242" i="6" s="1"/>
  <c r="K251" i="6"/>
  <c r="K252" i="6"/>
  <c r="J253" i="6"/>
  <c r="N254" i="6"/>
  <c r="P254" i="6"/>
  <c r="L255" i="6"/>
  <c r="L256" i="6"/>
  <c r="L257" i="6"/>
  <c r="L258" i="6"/>
  <c r="I260" i="6"/>
  <c r="I253" i="6" s="1"/>
  <c r="K253" i="6" s="1"/>
  <c r="K262" i="6"/>
  <c r="K263" i="6"/>
  <c r="I265" i="6"/>
  <c r="K265" i="6" s="1"/>
  <c r="J265" i="6"/>
  <c r="L267" i="6"/>
  <c r="O267" i="6" s="1"/>
  <c r="M267" i="6"/>
  <c r="P267" i="6" s="1"/>
  <c r="N267" i="6"/>
  <c r="O270" i="6"/>
  <c r="P270" i="6"/>
  <c r="L271" i="6"/>
  <c r="L269" i="6" s="1"/>
  <c r="O269" i="6" s="1"/>
  <c r="M271" i="6"/>
  <c r="M269" i="6" s="1"/>
  <c r="P269" i="6" s="1"/>
  <c r="N271" i="6"/>
  <c r="N269" i="6" s="1"/>
  <c r="O273" i="6"/>
  <c r="P273" i="6"/>
  <c r="L274" i="6"/>
  <c r="L272" i="6" s="1"/>
  <c r="O272" i="6" s="1"/>
  <c r="M274" i="6"/>
  <c r="P274" i="6" s="1"/>
  <c r="N274" i="6"/>
  <c r="N272" i="6" s="1"/>
  <c r="J281" i="6"/>
  <c r="L283" i="6"/>
  <c r="O283" i="6" s="1"/>
  <c r="M283" i="6"/>
  <c r="P283" i="6" s="1"/>
  <c r="N283" i="6"/>
  <c r="O286" i="6"/>
  <c r="P286" i="6"/>
  <c r="L287" i="6"/>
  <c r="M287" i="6"/>
  <c r="N287" i="6"/>
  <c r="N285" i="6" s="1"/>
  <c r="O289" i="6"/>
  <c r="P289" i="6"/>
  <c r="L290" i="6"/>
  <c r="L288" i="6" s="1"/>
  <c r="O288" i="6" s="1"/>
  <c r="M290" i="6"/>
  <c r="P290" i="6" s="1"/>
  <c r="N290" i="6"/>
  <c r="I292" i="6"/>
  <c r="I281" i="6" s="1"/>
  <c r="K281" i="6" s="1"/>
  <c r="I293" i="6"/>
  <c r="I280" i="6" s="1"/>
  <c r="J293" i="6"/>
  <c r="J280" i="6" s="1"/>
  <c r="I295" i="6"/>
  <c r="K295" i="6" s="1"/>
  <c r="I296" i="6"/>
  <c r="K296" i="6" s="1"/>
  <c r="J302" i="6"/>
  <c r="L304" i="6"/>
  <c r="M304" i="6"/>
  <c r="P304" i="6" s="1"/>
  <c r="N304" i="6"/>
  <c r="O304" i="6"/>
  <c r="O307" i="6"/>
  <c r="P307" i="6"/>
  <c r="L308" i="6"/>
  <c r="L306" i="6" s="1"/>
  <c r="M308" i="6"/>
  <c r="M306" i="6" s="1"/>
  <c r="N308" i="6"/>
  <c r="N306" i="6" s="1"/>
  <c r="O310" i="6"/>
  <c r="P310" i="6"/>
  <c r="L311" i="6"/>
  <c r="L309" i="6" s="1"/>
  <c r="O309" i="6" s="1"/>
  <c r="M311" i="6"/>
  <c r="P311" i="6" s="1"/>
  <c r="N311" i="6"/>
  <c r="N309" i="6" s="1"/>
  <c r="I314" i="6"/>
  <c r="I302" i="6" s="1"/>
  <c r="I315" i="6"/>
  <c r="K315" i="6" s="1"/>
  <c r="I316" i="6"/>
  <c r="K316" i="6" s="1"/>
  <c r="I317" i="6"/>
  <c r="K317" i="6" s="1"/>
  <c r="J319" i="6"/>
  <c r="L321" i="6"/>
  <c r="O321" i="6" s="1"/>
  <c r="M321" i="6"/>
  <c r="P321" i="6" s="1"/>
  <c r="N321" i="6"/>
  <c r="O324" i="6"/>
  <c r="P324" i="6"/>
  <c r="L325" i="6"/>
  <c r="M325" i="6"/>
  <c r="N325" i="6"/>
  <c r="N323" i="6" s="1"/>
  <c r="O327" i="6"/>
  <c r="P327" i="6"/>
  <c r="L328" i="6"/>
  <c r="L326" i="6" s="1"/>
  <c r="O326" i="6" s="1"/>
  <c r="M328" i="6"/>
  <c r="N328" i="6"/>
  <c r="N326" i="6" s="1"/>
  <c r="I330" i="6"/>
  <c r="I319" i="6" s="1"/>
  <c r="L334" i="6"/>
  <c r="O334" i="6" s="1"/>
  <c r="M334" i="6"/>
  <c r="P334" i="6" s="1"/>
  <c r="N334" i="6"/>
  <c r="O337" i="6"/>
  <c r="P337" i="6"/>
  <c r="L338" i="6"/>
  <c r="M338" i="6"/>
  <c r="N338" i="6"/>
  <c r="N336" i="6" s="1"/>
  <c r="O340" i="6"/>
  <c r="P340" i="6"/>
  <c r="L341" i="6"/>
  <c r="O341" i="6" s="1"/>
  <c r="M341" i="6"/>
  <c r="M339" i="6" s="1"/>
  <c r="P339" i="6" s="1"/>
  <c r="N341" i="6"/>
  <c r="N339" i="6" s="1"/>
  <c r="I344" i="6"/>
  <c r="J344" i="6"/>
  <c r="I346" i="6"/>
  <c r="J346" i="6"/>
  <c r="J347" i="6"/>
  <c r="J348" i="6"/>
  <c r="J349" i="6"/>
  <c r="D350" i="6"/>
  <c r="J352" i="6"/>
  <c r="J353" i="6"/>
  <c r="D354" i="6"/>
  <c r="L357" i="6"/>
  <c r="O357" i="6" s="1"/>
  <c r="M357" i="6"/>
  <c r="P357" i="6" s="1"/>
  <c r="N357" i="6"/>
  <c r="O360" i="6"/>
  <c r="P360" i="6"/>
  <c r="L361" i="6"/>
  <c r="L359" i="6" s="1"/>
  <c r="M361" i="6"/>
  <c r="M359" i="6" s="1"/>
  <c r="N361" i="6"/>
  <c r="O363" i="6"/>
  <c r="P363" i="6"/>
  <c r="L364" i="6"/>
  <c r="O364" i="6" s="1"/>
  <c r="M364" i="6"/>
  <c r="P364" i="6" s="1"/>
  <c r="N364" i="6"/>
  <c r="N362" i="6" s="1"/>
  <c r="J367" i="6"/>
  <c r="K367" i="6"/>
  <c r="I368" i="6"/>
  <c r="J368" i="6"/>
  <c r="I369" i="6"/>
  <c r="J369" i="6"/>
  <c r="J370" i="6"/>
  <c r="K370" i="6"/>
  <c r="I371" i="6"/>
  <c r="I365" i="6" s="1"/>
  <c r="J371" i="6"/>
  <c r="J365" i="6" s="1"/>
  <c r="J372" i="6"/>
  <c r="K372" i="6"/>
  <c r="D373" i="6"/>
  <c r="I376" i="6"/>
  <c r="J376" i="6"/>
  <c r="K376" i="6"/>
  <c r="L378" i="6"/>
  <c r="O378" i="6" s="1"/>
  <c r="M378" i="6"/>
  <c r="N378" i="6"/>
  <c r="O381" i="6"/>
  <c r="P381" i="6"/>
  <c r="L382" i="6"/>
  <c r="M382" i="6"/>
  <c r="P382" i="6" s="1"/>
  <c r="N382" i="6"/>
  <c r="N380" i="6" s="1"/>
  <c r="O384" i="6"/>
  <c r="P384" i="6"/>
  <c r="L385" i="6"/>
  <c r="L383" i="6" s="1"/>
  <c r="O383" i="6" s="1"/>
  <c r="M385" i="6"/>
  <c r="P385" i="6" s="1"/>
  <c r="N385" i="6"/>
  <c r="N383" i="6" s="1"/>
  <c r="K387" i="6"/>
  <c r="K388" i="6"/>
  <c r="A391" i="6"/>
  <c r="L22" i="5"/>
  <c r="M22" i="5"/>
  <c r="P22" i="5" s="1"/>
  <c r="N22" i="5"/>
  <c r="O22" i="5"/>
  <c r="L25" i="5"/>
  <c r="O25" i="5" s="1"/>
  <c r="M25" i="5"/>
  <c r="N25" i="5"/>
  <c r="L45" i="5"/>
  <c r="M45" i="5"/>
  <c r="P45" i="5" s="1"/>
  <c r="N45" i="5"/>
  <c r="O45" i="5"/>
  <c r="O48" i="5"/>
  <c r="P48" i="5"/>
  <c r="L49" i="5"/>
  <c r="L47" i="5" s="1"/>
  <c r="M49" i="5"/>
  <c r="M47" i="5" s="1"/>
  <c r="N49" i="5"/>
  <c r="N47" i="5" s="1"/>
  <c r="O51" i="5"/>
  <c r="P51" i="5"/>
  <c r="L52" i="5"/>
  <c r="O52" i="5" s="1"/>
  <c r="M52" i="5"/>
  <c r="M50" i="5" s="1"/>
  <c r="P50" i="5" s="1"/>
  <c r="N52" i="5"/>
  <c r="N50" i="5" s="1"/>
  <c r="L60" i="5"/>
  <c r="O60" i="5" s="1"/>
  <c r="M60" i="5"/>
  <c r="P60" i="5" s="1"/>
  <c r="N60" i="5"/>
  <c r="O63" i="5"/>
  <c r="P63" i="5"/>
  <c r="L64" i="5"/>
  <c r="L62" i="5" s="1"/>
  <c r="M64" i="5"/>
  <c r="N64" i="5"/>
  <c r="O66" i="5"/>
  <c r="P66" i="5"/>
  <c r="L67" i="5"/>
  <c r="O67" i="5" s="1"/>
  <c r="M67" i="5"/>
  <c r="N67" i="5"/>
  <c r="L73" i="5"/>
  <c r="M73" i="5"/>
  <c r="N73" i="5"/>
  <c r="O73" i="5"/>
  <c r="O76" i="5"/>
  <c r="P76" i="5"/>
  <c r="L77" i="5"/>
  <c r="O77" i="5" s="1"/>
  <c r="M77" i="5"/>
  <c r="M75" i="5" s="1"/>
  <c r="P75" i="5" s="1"/>
  <c r="N77" i="5"/>
  <c r="N75" i="5" s="1"/>
  <c r="O79" i="5"/>
  <c r="P79" i="5"/>
  <c r="L80" i="5"/>
  <c r="O80" i="5" s="1"/>
  <c r="M80" i="5"/>
  <c r="M78" i="5" s="1"/>
  <c r="P78" i="5" s="1"/>
  <c r="N80" i="5"/>
  <c r="N78" i="5" s="1"/>
  <c r="J82" i="5"/>
  <c r="J70" i="5" s="1"/>
  <c r="J83" i="5"/>
  <c r="J71" i="5" s="1"/>
  <c r="I84" i="5"/>
  <c r="K84" i="5" s="1"/>
  <c r="I85" i="5"/>
  <c r="I86" i="5"/>
  <c r="K86" i="5" s="1"/>
  <c r="I87" i="5"/>
  <c r="K87" i="5" s="1"/>
  <c r="I88" i="5"/>
  <c r="K88" i="5" s="1"/>
  <c r="I89" i="5"/>
  <c r="K89" i="5" s="1"/>
  <c r="I90" i="5"/>
  <c r="K90" i="5" s="1"/>
  <c r="J92" i="5"/>
  <c r="J93" i="5"/>
  <c r="L95" i="5"/>
  <c r="M95" i="5"/>
  <c r="N95" i="5"/>
  <c r="P95" i="5"/>
  <c r="O98" i="5"/>
  <c r="P98" i="5"/>
  <c r="L99" i="5"/>
  <c r="M99" i="5"/>
  <c r="P99" i="5" s="1"/>
  <c r="N99" i="5"/>
  <c r="O101" i="5"/>
  <c r="P101" i="5"/>
  <c r="L102" i="5"/>
  <c r="O102" i="5" s="1"/>
  <c r="M102" i="5"/>
  <c r="P102" i="5" s="1"/>
  <c r="N102" i="5"/>
  <c r="N100" i="5" s="1"/>
  <c r="I108" i="5"/>
  <c r="I92" i="5" s="1"/>
  <c r="K92" i="5" s="1"/>
  <c r="I109" i="5"/>
  <c r="K109" i="5" s="1"/>
  <c r="I117" i="5"/>
  <c r="K117" i="5" s="1"/>
  <c r="L126" i="5"/>
  <c r="O126" i="5" s="1"/>
  <c r="M126" i="5"/>
  <c r="P126" i="5" s="1"/>
  <c r="N126" i="5"/>
  <c r="O129" i="5"/>
  <c r="P129" i="5"/>
  <c r="L130" i="5"/>
  <c r="L128" i="5" s="1"/>
  <c r="O128" i="5" s="1"/>
  <c r="M130" i="5"/>
  <c r="M128" i="5" s="1"/>
  <c r="P128" i="5" s="1"/>
  <c r="N130" i="5"/>
  <c r="N128" i="5" s="1"/>
  <c r="O132" i="5"/>
  <c r="P132" i="5"/>
  <c r="L133" i="5"/>
  <c r="L131" i="5" s="1"/>
  <c r="O131" i="5" s="1"/>
  <c r="M133" i="5"/>
  <c r="M131" i="5" s="1"/>
  <c r="P131" i="5" s="1"/>
  <c r="N133" i="5"/>
  <c r="N131" i="5" s="1"/>
  <c r="J136" i="5"/>
  <c r="J137" i="5"/>
  <c r="J138" i="5"/>
  <c r="L140" i="5"/>
  <c r="M140" i="5"/>
  <c r="P140" i="5" s="1"/>
  <c r="N140" i="5"/>
  <c r="O140" i="5"/>
  <c r="O143" i="5"/>
  <c r="P143" i="5"/>
  <c r="L144" i="5"/>
  <c r="L142" i="5" s="1"/>
  <c r="M144" i="5"/>
  <c r="M142" i="5" s="1"/>
  <c r="N144" i="5"/>
  <c r="N142" i="5" s="1"/>
  <c r="O146" i="5"/>
  <c r="P146" i="5"/>
  <c r="L147" i="5"/>
  <c r="L145" i="5" s="1"/>
  <c r="O145" i="5" s="1"/>
  <c r="M147" i="5"/>
  <c r="M145" i="5" s="1"/>
  <c r="P145" i="5" s="1"/>
  <c r="N147" i="5"/>
  <c r="N145" i="5" s="1"/>
  <c r="I150" i="5"/>
  <c r="K150" i="5" s="1"/>
  <c r="I151" i="5"/>
  <c r="K151" i="5" s="1"/>
  <c r="I152" i="5"/>
  <c r="I137" i="5" s="1"/>
  <c r="K137" i="5" s="1"/>
  <c r="I153" i="5"/>
  <c r="I138" i="5" s="1"/>
  <c r="K138" i="5" s="1"/>
  <c r="I154" i="5"/>
  <c r="I136" i="5" s="1"/>
  <c r="K136" i="5" s="1"/>
  <c r="J156" i="5"/>
  <c r="L158" i="5"/>
  <c r="M158" i="5"/>
  <c r="P158" i="5" s="1"/>
  <c r="N158" i="5"/>
  <c r="O158" i="5"/>
  <c r="O161" i="5"/>
  <c r="P161" i="5"/>
  <c r="L162" i="5"/>
  <c r="O162" i="5" s="1"/>
  <c r="M162" i="5"/>
  <c r="M160" i="5" s="1"/>
  <c r="P160" i="5" s="1"/>
  <c r="N162" i="5"/>
  <c r="N160" i="5" s="1"/>
  <c r="O164" i="5"/>
  <c r="P164" i="5"/>
  <c r="L165" i="5"/>
  <c r="O165" i="5" s="1"/>
  <c r="M165" i="5"/>
  <c r="M163" i="5" s="1"/>
  <c r="P163" i="5" s="1"/>
  <c r="N165" i="5"/>
  <c r="N163" i="5" s="1"/>
  <c r="I167" i="5"/>
  <c r="K167" i="5" s="1"/>
  <c r="I168" i="5"/>
  <c r="K168" i="5" s="1"/>
  <c r="I169" i="5"/>
  <c r="I156" i="5" s="1"/>
  <c r="K156" i="5" s="1"/>
  <c r="J172" i="5"/>
  <c r="L174" i="5"/>
  <c r="O174" i="5" s="1"/>
  <c r="M174" i="5"/>
  <c r="N174" i="5"/>
  <c r="P174" i="5"/>
  <c r="O177" i="5"/>
  <c r="P177" i="5"/>
  <c r="L178" i="5"/>
  <c r="M178" i="5"/>
  <c r="M176" i="5" s="1"/>
  <c r="N178" i="5"/>
  <c r="N176" i="5" s="1"/>
  <c r="O180" i="5"/>
  <c r="P180" i="5"/>
  <c r="L181" i="5"/>
  <c r="O181" i="5" s="1"/>
  <c r="M181" i="5"/>
  <c r="M179" i="5" s="1"/>
  <c r="P179" i="5" s="1"/>
  <c r="N181" i="5"/>
  <c r="N179" i="5" s="1"/>
  <c r="I183" i="5"/>
  <c r="K183" i="5" s="1"/>
  <c r="K184" i="5"/>
  <c r="L187" i="5"/>
  <c r="O187" i="5" s="1"/>
  <c r="M187" i="5"/>
  <c r="P187" i="5" s="1"/>
  <c r="N187" i="5"/>
  <c r="O190" i="5"/>
  <c r="P190" i="5"/>
  <c r="L191" i="5"/>
  <c r="L189" i="5" s="1"/>
  <c r="M191" i="5"/>
  <c r="N191" i="5"/>
  <c r="O193" i="5"/>
  <c r="P193" i="5"/>
  <c r="L194" i="5"/>
  <c r="L192" i="5" s="1"/>
  <c r="O192" i="5" s="1"/>
  <c r="M194" i="5"/>
  <c r="N194" i="5"/>
  <c r="N192" i="5" s="1"/>
  <c r="J195" i="5"/>
  <c r="L196" i="5"/>
  <c r="O196" i="5" s="1"/>
  <c r="P196" i="5"/>
  <c r="I198" i="5"/>
  <c r="I195" i="5" s="1"/>
  <c r="K195" i="5" s="1"/>
  <c r="J199" i="5"/>
  <c r="J202" i="5"/>
  <c r="N203" i="5"/>
  <c r="P203" i="5"/>
  <c r="L204" i="5"/>
  <c r="L205" i="5"/>
  <c r="L206" i="5"/>
  <c r="L207" i="5"/>
  <c r="I209" i="5"/>
  <c r="K209" i="5" s="1"/>
  <c r="I211" i="5"/>
  <c r="K211" i="5" s="1"/>
  <c r="I212" i="5"/>
  <c r="K212" i="5" s="1"/>
  <c r="J213" i="5"/>
  <c r="N214" i="5"/>
  <c r="P214" i="5"/>
  <c r="L215" i="5"/>
  <c r="L216" i="5"/>
  <c r="L217" i="5"/>
  <c r="I219" i="5"/>
  <c r="K219" i="5" s="1"/>
  <c r="I220" i="5"/>
  <c r="K220" i="5" s="1"/>
  <c r="J221" i="5"/>
  <c r="N222" i="5"/>
  <c r="P222" i="5"/>
  <c r="L223" i="5"/>
  <c r="L224" i="5"/>
  <c r="L225" i="5"/>
  <c r="I228" i="5"/>
  <c r="K228" i="5" s="1"/>
  <c r="I229" i="5"/>
  <c r="K229" i="5" s="1"/>
  <c r="I230" i="5"/>
  <c r="K230" i="5" s="1"/>
  <c r="N233" i="5"/>
  <c r="N234" i="5"/>
  <c r="N235" i="5"/>
  <c r="N236" i="5"/>
  <c r="J238" i="5"/>
  <c r="I240" i="5"/>
  <c r="K240" i="5" s="1"/>
  <c r="J240" i="5"/>
  <c r="I241" i="5"/>
  <c r="K241" i="5" s="1"/>
  <c r="J241" i="5"/>
  <c r="J242" i="5"/>
  <c r="N243" i="5"/>
  <c r="P243" i="5"/>
  <c r="L244" i="5"/>
  <c r="L245" i="5"/>
  <c r="L246" i="5"/>
  <c r="L247" i="5"/>
  <c r="I249" i="5"/>
  <c r="I242" i="5" s="1"/>
  <c r="K242" i="5" s="1"/>
  <c r="K251" i="5"/>
  <c r="K252" i="5"/>
  <c r="J253" i="5"/>
  <c r="J231" i="5" s="1"/>
  <c r="J185" i="5" s="1"/>
  <c r="N254" i="5"/>
  <c r="P254" i="5"/>
  <c r="L255" i="5"/>
  <c r="L256" i="5"/>
  <c r="L257" i="5"/>
  <c r="L258" i="5"/>
  <c r="I260" i="5"/>
  <c r="K260" i="5" s="1"/>
  <c r="K262" i="5"/>
  <c r="K263" i="5"/>
  <c r="I265" i="5"/>
  <c r="J265" i="5"/>
  <c r="K265" i="5"/>
  <c r="L267" i="5"/>
  <c r="O267" i="5" s="1"/>
  <c r="M267" i="5"/>
  <c r="P267" i="5" s="1"/>
  <c r="N267" i="5"/>
  <c r="O270" i="5"/>
  <c r="P270" i="5"/>
  <c r="L271" i="5"/>
  <c r="M271" i="5"/>
  <c r="N271" i="5"/>
  <c r="N269" i="5" s="1"/>
  <c r="O273" i="5"/>
  <c r="P273" i="5"/>
  <c r="L274" i="5"/>
  <c r="L272" i="5" s="1"/>
  <c r="O272" i="5" s="1"/>
  <c r="M274" i="5"/>
  <c r="N274" i="5"/>
  <c r="N272" i="5" s="1"/>
  <c r="J281" i="5"/>
  <c r="L283" i="5"/>
  <c r="M283" i="5"/>
  <c r="N283" i="5"/>
  <c r="O283" i="5"/>
  <c r="O286" i="5"/>
  <c r="P286" i="5"/>
  <c r="L287" i="5"/>
  <c r="O287" i="5" s="1"/>
  <c r="M287" i="5"/>
  <c r="N287" i="5"/>
  <c r="N285" i="5" s="1"/>
  <c r="O289" i="5"/>
  <c r="P289" i="5"/>
  <c r="L290" i="5"/>
  <c r="O290" i="5" s="1"/>
  <c r="M290" i="5"/>
  <c r="M288" i="5" s="1"/>
  <c r="P288" i="5" s="1"/>
  <c r="N290" i="5"/>
  <c r="N288" i="5" s="1"/>
  <c r="I292" i="5"/>
  <c r="I281" i="5" s="1"/>
  <c r="K281" i="5" s="1"/>
  <c r="I293" i="5"/>
  <c r="K293" i="5" s="1"/>
  <c r="J293" i="5"/>
  <c r="J280" i="5" s="1"/>
  <c r="I295" i="5"/>
  <c r="K295" i="5" s="1"/>
  <c r="I296" i="5"/>
  <c r="K296" i="5" s="1"/>
  <c r="J302" i="5"/>
  <c r="L304" i="5"/>
  <c r="O304" i="5" s="1"/>
  <c r="M304" i="5"/>
  <c r="P304" i="5" s="1"/>
  <c r="N304" i="5"/>
  <c r="O307" i="5"/>
  <c r="P307" i="5"/>
  <c r="L308" i="5"/>
  <c r="M308" i="5"/>
  <c r="N308" i="5"/>
  <c r="O310" i="5"/>
  <c r="P310" i="5"/>
  <c r="L311" i="5"/>
  <c r="L309" i="5" s="1"/>
  <c r="O309" i="5" s="1"/>
  <c r="M311" i="5"/>
  <c r="N311" i="5"/>
  <c r="N309" i="5" s="1"/>
  <c r="I314" i="5"/>
  <c r="K314" i="5" s="1"/>
  <c r="I315" i="5"/>
  <c r="K315" i="5" s="1"/>
  <c r="I316" i="5"/>
  <c r="K316" i="5" s="1"/>
  <c r="I317" i="5"/>
  <c r="K317" i="5" s="1"/>
  <c r="J319" i="5"/>
  <c r="L321" i="5"/>
  <c r="M321" i="5"/>
  <c r="N321" i="5"/>
  <c r="P321" i="5"/>
  <c r="O324" i="5"/>
  <c r="P324" i="5"/>
  <c r="L325" i="5"/>
  <c r="M325" i="5"/>
  <c r="P325" i="5" s="1"/>
  <c r="N325" i="5"/>
  <c r="N323" i="5" s="1"/>
  <c r="O327" i="5"/>
  <c r="P327" i="5"/>
  <c r="L328" i="5"/>
  <c r="L326" i="5" s="1"/>
  <c r="O326" i="5" s="1"/>
  <c r="M328" i="5"/>
  <c r="P328" i="5" s="1"/>
  <c r="N328" i="5"/>
  <c r="N326" i="5" s="1"/>
  <c r="I330" i="5"/>
  <c r="K330" i="5" s="1"/>
  <c r="L334" i="5"/>
  <c r="O334" i="5" s="1"/>
  <c r="M334" i="5"/>
  <c r="N334" i="5"/>
  <c r="P334" i="5"/>
  <c r="O337" i="5"/>
  <c r="P337" i="5"/>
  <c r="L338" i="5"/>
  <c r="M338" i="5"/>
  <c r="M336" i="5" s="1"/>
  <c r="N338" i="5"/>
  <c r="O340" i="5"/>
  <c r="P340" i="5"/>
  <c r="L341" i="5"/>
  <c r="L339" i="5" s="1"/>
  <c r="O339" i="5" s="1"/>
  <c r="M341" i="5"/>
  <c r="M339" i="5" s="1"/>
  <c r="P339" i="5" s="1"/>
  <c r="N341" i="5"/>
  <c r="N339" i="5" s="1"/>
  <c r="I344" i="5"/>
  <c r="I332" i="5" s="1"/>
  <c r="J344" i="5"/>
  <c r="I346" i="5"/>
  <c r="J346" i="5"/>
  <c r="J347" i="5"/>
  <c r="J348" i="5"/>
  <c r="J349" i="5"/>
  <c r="D350" i="5"/>
  <c r="J352" i="5"/>
  <c r="J353" i="5"/>
  <c r="D354" i="5"/>
  <c r="L357" i="5"/>
  <c r="O357" i="5" s="1"/>
  <c r="M357" i="5"/>
  <c r="N357" i="5"/>
  <c r="P357" i="5"/>
  <c r="O360" i="5"/>
  <c r="P360" i="5"/>
  <c r="L361" i="5"/>
  <c r="L359" i="5" s="1"/>
  <c r="M361" i="5"/>
  <c r="N361" i="5"/>
  <c r="N359" i="5" s="1"/>
  <c r="O363" i="5"/>
  <c r="P363" i="5"/>
  <c r="L364" i="5"/>
  <c r="L362" i="5" s="1"/>
  <c r="O362" i="5" s="1"/>
  <c r="M364" i="5"/>
  <c r="M362" i="5" s="1"/>
  <c r="P362" i="5" s="1"/>
  <c r="N364" i="5"/>
  <c r="N362" i="5" s="1"/>
  <c r="J367" i="5"/>
  <c r="K367" i="5"/>
  <c r="I368" i="5"/>
  <c r="J368" i="5"/>
  <c r="I369" i="5"/>
  <c r="J369" i="5"/>
  <c r="J370" i="5"/>
  <c r="K370" i="5"/>
  <c r="I371" i="5"/>
  <c r="I365" i="5" s="1"/>
  <c r="J371" i="5"/>
  <c r="J365" i="5" s="1"/>
  <c r="J372" i="5"/>
  <c r="K372" i="5"/>
  <c r="D373" i="5"/>
  <c r="I376" i="5"/>
  <c r="K376" i="5" s="1"/>
  <c r="J376" i="5"/>
  <c r="L378" i="5"/>
  <c r="O378" i="5" s="1"/>
  <c r="M378" i="5"/>
  <c r="N378" i="5"/>
  <c r="P378" i="5"/>
  <c r="O381" i="5"/>
  <c r="P381" i="5"/>
  <c r="L382" i="5"/>
  <c r="O382" i="5" s="1"/>
  <c r="M382" i="5"/>
  <c r="N382" i="5"/>
  <c r="N380" i="5" s="1"/>
  <c r="O384" i="5"/>
  <c r="P384" i="5"/>
  <c r="L385" i="5"/>
  <c r="L383" i="5" s="1"/>
  <c r="O383" i="5" s="1"/>
  <c r="M385" i="5"/>
  <c r="P385" i="5" s="1"/>
  <c r="N385" i="5"/>
  <c r="N383" i="5" s="1"/>
  <c r="K387" i="5"/>
  <c r="K388" i="5"/>
  <c r="A391" i="5"/>
  <c r="L22" i="4"/>
  <c r="M22" i="4"/>
  <c r="N22" i="4"/>
  <c r="N19" i="4" s="1"/>
  <c r="O22" i="4"/>
  <c r="L25" i="4"/>
  <c r="M25" i="4"/>
  <c r="P25" i="4" s="1"/>
  <c r="N25" i="4"/>
  <c r="L45" i="4"/>
  <c r="M45" i="4"/>
  <c r="P45" i="4" s="1"/>
  <c r="N45" i="4"/>
  <c r="O45" i="4"/>
  <c r="O48" i="4"/>
  <c r="P48" i="4"/>
  <c r="L49" i="4"/>
  <c r="M49" i="4"/>
  <c r="M47" i="4" s="1"/>
  <c r="N49" i="4"/>
  <c r="N47" i="4" s="1"/>
  <c r="O51" i="4"/>
  <c r="P51" i="4"/>
  <c r="L52" i="4"/>
  <c r="L50" i="4" s="1"/>
  <c r="O50" i="4" s="1"/>
  <c r="M52" i="4"/>
  <c r="P52" i="4" s="1"/>
  <c r="N52" i="4"/>
  <c r="L60" i="4"/>
  <c r="M60" i="4"/>
  <c r="N60" i="4"/>
  <c r="O60" i="4"/>
  <c r="O63" i="4"/>
  <c r="P63" i="4"/>
  <c r="L64" i="4"/>
  <c r="M64" i="4"/>
  <c r="M62" i="4" s="1"/>
  <c r="N64" i="4"/>
  <c r="O66" i="4"/>
  <c r="P66" i="4"/>
  <c r="L67" i="4"/>
  <c r="M67" i="4"/>
  <c r="M65" i="4" s="1"/>
  <c r="P65" i="4" s="1"/>
  <c r="N67" i="4"/>
  <c r="N65" i="4" s="1"/>
  <c r="L73" i="4"/>
  <c r="O73" i="4" s="1"/>
  <c r="M73" i="4"/>
  <c r="P73" i="4" s="1"/>
  <c r="N73" i="4"/>
  <c r="O76" i="4"/>
  <c r="P76" i="4"/>
  <c r="L77" i="4"/>
  <c r="M77" i="4"/>
  <c r="N77" i="4"/>
  <c r="N75" i="4" s="1"/>
  <c r="O79" i="4"/>
  <c r="P79" i="4"/>
  <c r="L80" i="4"/>
  <c r="O80" i="4" s="1"/>
  <c r="M80" i="4"/>
  <c r="P80" i="4" s="1"/>
  <c r="N80" i="4"/>
  <c r="N78" i="4" s="1"/>
  <c r="J82" i="4"/>
  <c r="J70" i="4" s="1"/>
  <c r="J83" i="4"/>
  <c r="J71" i="4" s="1"/>
  <c r="I84" i="4"/>
  <c r="K84" i="4" s="1"/>
  <c r="I85" i="4"/>
  <c r="K85" i="4" s="1"/>
  <c r="I86" i="4"/>
  <c r="K86" i="4" s="1"/>
  <c r="I87" i="4"/>
  <c r="K87" i="4" s="1"/>
  <c r="I88" i="4"/>
  <c r="K88" i="4" s="1"/>
  <c r="I89" i="4"/>
  <c r="K89" i="4" s="1"/>
  <c r="I90" i="4"/>
  <c r="K90" i="4" s="1"/>
  <c r="J92" i="4"/>
  <c r="J93" i="4"/>
  <c r="L95" i="4"/>
  <c r="O95" i="4" s="1"/>
  <c r="M95" i="4"/>
  <c r="P95" i="4" s="1"/>
  <c r="N95" i="4"/>
  <c r="O98" i="4"/>
  <c r="P98" i="4"/>
  <c r="L99" i="4"/>
  <c r="L97" i="4" s="1"/>
  <c r="O97" i="4" s="1"/>
  <c r="M99" i="4"/>
  <c r="N99" i="4"/>
  <c r="O101" i="4"/>
  <c r="P101" i="4"/>
  <c r="L102" i="4"/>
  <c r="L100" i="4" s="1"/>
  <c r="O100" i="4" s="1"/>
  <c r="M102" i="4"/>
  <c r="M100" i="4" s="1"/>
  <c r="P100" i="4" s="1"/>
  <c r="N102" i="4"/>
  <c r="N100" i="4" s="1"/>
  <c r="I108" i="4"/>
  <c r="I92" i="4" s="1"/>
  <c r="K92" i="4" s="1"/>
  <c r="I109" i="4"/>
  <c r="K109" i="4" s="1"/>
  <c r="I117" i="4"/>
  <c r="K117" i="4" s="1"/>
  <c r="L126" i="4"/>
  <c r="M126" i="4"/>
  <c r="N126" i="4"/>
  <c r="P126" i="4"/>
  <c r="O129" i="4"/>
  <c r="P129" i="4"/>
  <c r="L130" i="4"/>
  <c r="L128" i="4" s="1"/>
  <c r="O128" i="4" s="1"/>
  <c r="M130" i="4"/>
  <c r="N130" i="4"/>
  <c r="N128" i="4" s="1"/>
  <c r="O132" i="4"/>
  <c r="P132" i="4"/>
  <c r="L133" i="4"/>
  <c r="L131" i="4" s="1"/>
  <c r="O131" i="4" s="1"/>
  <c r="M133" i="4"/>
  <c r="P133" i="4" s="1"/>
  <c r="N133" i="4"/>
  <c r="N131" i="4" s="1"/>
  <c r="J136" i="4"/>
  <c r="J137" i="4"/>
  <c r="J138" i="4"/>
  <c r="L140" i="4"/>
  <c r="M140" i="4"/>
  <c r="N140" i="4"/>
  <c r="P140" i="4"/>
  <c r="O143" i="4"/>
  <c r="P143" i="4"/>
  <c r="L144" i="4"/>
  <c r="L142" i="4" s="1"/>
  <c r="O142" i="4" s="1"/>
  <c r="M144" i="4"/>
  <c r="P144" i="4" s="1"/>
  <c r="N144" i="4"/>
  <c r="N142" i="4" s="1"/>
  <c r="O146" i="4"/>
  <c r="P146" i="4"/>
  <c r="L147" i="4"/>
  <c r="L145" i="4" s="1"/>
  <c r="O145" i="4" s="1"/>
  <c r="M147" i="4"/>
  <c r="P147" i="4" s="1"/>
  <c r="N147" i="4"/>
  <c r="N145" i="4" s="1"/>
  <c r="I150" i="4"/>
  <c r="K150" i="4" s="1"/>
  <c r="I151" i="4"/>
  <c r="K151" i="4" s="1"/>
  <c r="I152" i="4"/>
  <c r="I153" i="4"/>
  <c r="I138" i="4" s="1"/>
  <c r="K138" i="4" s="1"/>
  <c r="I154" i="4"/>
  <c r="J156" i="4"/>
  <c r="L158" i="4"/>
  <c r="O158" i="4" s="1"/>
  <c r="M158" i="4"/>
  <c r="P158" i="4" s="1"/>
  <c r="N158" i="4"/>
  <c r="O161" i="4"/>
  <c r="P161" i="4"/>
  <c r="L162" i="4"/>
  <c r="O162" i="4" s="1"/>
  <c r="M162" i="4"/>
  <c r="N162" i="4"/>
  <c r="N160" i="4" s="1"/>
  <c r="O164" i="4"/>
  <c r="P164" i="4"/>
  <c r="L165" i="4"/>
  <c r="L163" i="4" s="1"/>
  <c r="O163" i="4" s="1"/>
  <c r="M165" i="4"/>
  <c r="P165" i="4" s="1"/>
  <c r="N165" i="4"/>
  <c r="N163" i="4" s="1"/>
  <c r="I167" i="4"/>
  <c r="K167" i="4" s="1"/>
  <c r="I168" i="4"/>
  <c r="K168" i="4" s="1"/>
  <c r="I169" i="4"/>
  <c r="K169" i="4" s="1"/>
  <c r="J172" i="4"/>
  <c r="L174" i="4"/>
  <c r="O174" i="4" s="1"/>
  <c r="M174" i="4"/>
  <c r="P174" i="4" s="1"/>
  <c r="N174" i="4"/>
  <c r="O177" i="4"/>
  <c r="P177" i="4"/>
  <c r="L178" i="4"/>
  <c r="L176" i="4" s="1"/>
  <c r="M178" i="4"/>
  <c r="M176" i="4" s="1"/>
  <c r="N178" i="4"/>
  <c r="N176" i="4" s="1"/>
  <c r="O180" i="4"/>
  <c r="P180" i="4"/>
  <c r="L181" i="4"/>
  <c r="L179" i="4" s="1"/>
  <c r="O179" i="4" s="1"/>
  <c r="M181" i="4"/>
  <c r="P181" i="4" s="1"/>
  <c r="N181" i="4"/>
  <c r="N179" i="4" s="1"/>
  <c r="I183" i="4"/>
  <c r="K183" i="4" s="1"/>
  <c r="K184" i="4"/>
  <c r="L187" i="4"/>
  <c r="M187" i="4"/>
  <c r="P187" i="4" s="1"/>
  <c r="N187" i="4"/>
  <c r="O187" i="4"/>
  <c r="O190" i="4"/>
  <c r="P190" i="4"/>
  <c r="L191" i="4"/>
  <c r="M191" i="4"/>
  <c r="M189" i="4" s="1"/>
  <c r="N191" i="4"/>
  <c r="O193" i="4"/>
  <c r="P193" i="4"/>
  <c r="L194" i="4"/>
  <c r="O194" i="4" s="1"/>
  <c r="M194" i="4"/>
  <c r="M192" i="4" s="1"/>
  <c r="P192" i="4" s="1"/>
  <c r="N194" i="4"/>
  <c r="N192" i="4" s="1"/>
  <c r="J195" i="4"/>
  <c r="L196" i="4"/>
  <c r="O196" i="4" s="1"/>
  <c r="P196" i="4"/>
  <c r="I198" i="4"/>
  <c r="K198" i="4" s="1"/>
  <c r="J199" i="4"/>
  <c r="J202" i="4"/>
  <c r="N203" i="4"/>
  <c r="P203" i="4"/>
  <c r="L204" i="4"/>
  <c r="L205" i="4"/>
  <c r="L206" i="4"/>
  <c r="L207" i="4"/>
  <c r="I209" i="4"/>
  <c r="I202" i="4" s="1"/>
  <c r="I211" i="4"/>
  <c r="K211" i="4" s="1"/>
  <c r="I212" i="4"/>
  <c r="K212" i="4" s="1"/>
  <c r="J213" i="4"/>
  <c r="N214" i="4"/>
  <c r="P214" i="4"/>
  <c r="L215" i="4"/>
  <c r="L216" i="4"/>
  <c r="L217" i="4"/>
  <c r="I219" i="4"/>
  <c r="K219" i="4" s="1"/>
  <c r="I220" i="4"/>
  <c r="I213" i="4" s="1"/>
  <c r="K213" i="4" s="1"/>
  <c r="J221" i="4"/>
  <c r="N222" i="4"/>
  <c r="P222" i="4"/>
  <c r="L223" i="4"/>
  <c r="L224" i="4"/>
  <c r="L225" i="4"/>
  <c r="I228" i="4"/>
  <c r="K228" i="4" s="1"/>
  <c r="I229" i="4"/>
  <c r="K229" i="4" s="1"/>
  <c r="I230" i="4"/>
  <c r="K230" i="4" s="1"/>
  <c r="N233" i="4"/>
  <c r="N234" i="4"/>
  <c r="N235" i="4"/>
  <c r="N236" i="4"/>
  <c r="J238" i="4"/>
  <c r="I240" i="4"/>
  <c r="K240" i="4" s="1"/>
  <c r="J240" i="4"/>
  <c r="I241" i="4"/>
  <c r="K241" i="4" s="1"/>
  <c r="J241" i="4"/>
  <c r="J242" i="4"/>
  <c r="N243" i="4"/>
  <c r="P243" i="4"/>
  <c r="L244" i="4"/>
  <c r="L245" i="4"/>
  <c r="L246" i="4"/>
  <c r="L247" i="4"/>
  <c r="I249" i="4"/>
  <c r="K251" i="4"/>
  <c r="K252" i="4"/>
  <c r="J253" i="4"/>
  <c r="N254" i="4"/>
  <c r="N232" i="4" s="1"/>
  <c r="P254" i="4"/>
  <c r="L255" i="4"/>
  <c r="L256" i="4"/>
  <c r="L257" i="4"/>
  <c r="L258" i="4"/>
  <c r="I260" i="4"/>
  <c r="I253" i="4" s="1"/>
  <c r="K253" i="4" s="1"/>
  <c r="K262" i="4"/>
  <c r="K263" i="4"/>
  <c r="I265" i="4"/>
  <c r="K265" i="4" s="1"/>
  <c r="J265" i="4"/>
  <c r="L267" i="4"/>
  <c r="O267" i="4" s="1"/>
  <c r="M267" i="4"/>
  <c r="N267" i="4"/>
  <c r="O270" i="4"/>
  <c r="P270" i="4"/>
  <c r="L271" i="4"/>
  <c r="L269" i="4" s="1"/>
  <c r="O269" i="4" s="1"/>
  <c r="M271" i="4"/>
  <c r="N271" i="4"/>
  <c r="N269" i="4" s="1"/>
  <c r="O273" i="4"/>
  <c r="P273" i="4"/>
  <c r="L274" i="4"/>
  <c r="L272" i="4" s="1"/>
  <c r="O272" i="4" s="1"/>
  <c r="M274" i="4"/>
  <c r="M272" i="4" s="1"/>
  <c r="P272" i="4" s="1"/>
  <c r="N274" i="4"/>
  <c r="N272" i="4" s="1"/>
  <c r="J281" i="4"/>
  <c r="L283" i="4"/>
  <c r="O283" i="4" s="1"/>
  <c r="M283" i="4"/>
  <c r="P283" i="4" s="1"/>
  <c r="N283" i="4"/>
  <c r="O286" i="4"/>
  <c r="P286" i="4"/>
  <c r="L287" i="4"/>
  <c r="L285" i="4" s="1"/>
  <c r="M287" i="4"/>
  <c r="M285" i="4" s="1"/>
  <c r="N287" i="4"/>
  <c r="N285" i="4" s="1"/>
  <c r="O289" i="4"/>
  <c r="P289" i="4"/>
  <c r="L290" i="4"/>
  <c r="M290" i="4"/>
  <c r="P290" i="4" s="1"/>
  <c r="N290" i="4"/>
  <c r="N288" i="4" s="1"/>
  <c r="I292" i="4"/>
  <c r="K292" i="4" s="1"/>
  <c r="I293" i="4"/>
  <c r="I280" i="4" s="1"/>
  <c r="J293" i="4"/>
  <c r="J280" i="4" s="1"/>
  <c r="I295" i="4"/>
  <c r="K295" i="4" s="1"/>
  <c r="I296" i="4"/>
  <c r="K296" i="4" s="1"/>
  <c r="J302" i="4"/>
  <c r="L304" i="4"/>
  <c r="M304" i="4"/>
  <c r="P304" i="4" s="1"/>
  <c r="N304" i="4"/>
  <c r="O304" i="4"/>
  <c r="O307" i="4"/>
  <c r="P307" i="4"/>
  <c r="L308" i="4"/>
  <c r="L306" i="4" s="1"/>
  <c r="O306" i="4" s="1"/>
  <c r="M308" i="4"/>
  <c r="M306" i="4" s="1"/>
  <c r="P306" i="4" s="1"/>
  <c r="N308" i="4"/>
  <c r="N306" i="4" s="1"/>
  <c r="O310" i="4"/>
  <c r="P310" i="4"/>
  <c r="L311" i="4"/>
  <c r="O311" i="4" s="1"/>
  <c r="M311" i="4"/>
  <c r="P311" i="4" s="1"/>
  <c r="N311" i="4"/>
  <c r="N309" i="4" s="1"/>
  <c r="I314" i="4"/>
  <c r="I302" i="4" s="1"/>
  <c r="K302" i="4" s="1"/>
  <c r="I315" i="4"/>
  <c r="K315" i="4" s="1"/>
  <c r="I316" i="4"/>
  <c r="K316" i="4" s="1"/>
  <c r="I317" i="4"/>
  <c r="K317" i="4" s="1"/>
  <c r="J319" i="4"/>
  <c r="L321" i="4"/>
  <c r="O321" i="4" s="1"/>
  <c r="M321" i="4"/>
  <c r="N321" i="4"/>
  <c r="P321" i="4"/>
  <c r="O324" i="4"/>
  <c r="P324" i="4"/>
  <c r="L325" i="4"/>
  <c r="L323" i="4" s="1"/>
  <c r="O323" i="4" s="1"/>
  <c r="M325" i="4"/>
  <c r="M323" i="4" s="1"/>
  <c r="P323" i="4" s="1"/>
  <c r="N325" i="4"/>
  <c r="N323" i="4" s="1"/>
  <c r="O327" i="4"/>
  <c r="P327" i="4"/>
  <c r="L328" i="4"/>
  <c r="L326" i="4" s="1"/>
  <c r="O326" i="4" s="1"/>
  <c r="M328" i="4"/>
  <c r="N328" i="4"/>
  <c r="N326" i="4" s="1"/>
  <c r="I330" i="4"/>
  <c r="I319" i="4" s="1"/>
  <c r="K319" i="4" s="1"/>
  <c r="L334" i="4"/>
  <c r="M334" i="4"/>
  <c r="P334" i="4" s="1"/>
  <c r="N334" i="4"/>
  <c r="O337" i="4"/>
  <c r="P337" i="4"/>
  <c r="L338" i="4"/>
  <c r="L336" i="4" s="1"/>
  <c r="M338" i="4"/>
  <c r="M336" i="4" s="1"/>
  <c r="N338" i="4"/>
  <c r="N336" i="4" s="1"/>
  <c r="O340" i="4"/>
  <c r="P340" i="4"/>
  <c r="L341" i="4"/>
  <c r="O341" i="4" s="1"/>
  <c r="M341" i="4"/>
  <c r="M339" i="4" s="1"/>
  <c r="P339" i="4" s="1"/>
  <c r="N341" i="4"/>
  <c r="I344" i="4"/>
  <c r="I332" i="4" s="1"/>
  <c r="J344" i="4"/>
  <c r="I346" i="4"/>
  <c r="J346" i="4"/>
  <c r="J347" i="4"/>
  <c r="J348" i="4"/>
  <c r="J349" i="4"/>
  <c r="D350" i="4"/>
  <c r="J352" i="4"/>
  <c r="J353" i="4"/>
  <c r="D354" i="4"/>
  <c r="L357" i="4"/>
  <c r="O357" i="4" s="1"/>
  <c r="M357" i="4"/>
  <c r="N357" i="4"/>
  <c r="O360" i="4"/>
  <c r="P360" i="4"/>
  <c r="L361" i="4"/>
  <c r="L359" i="4" s="1"/>
  <c r="M361" i="4"/>
  <c r="M359" i="4" s="1"/>
  <c r="N361" i="4"/>
  <c r="O363" i="4"/>
  <c r="P363" i="4"/>
  <c r="L364" i="4"/>
  <c r="L362" i="4" s="1"/>
  <c r="O362" i="4" s="1"/>
  <c r="M364" i="4"/>
  <c r="M362" i="4" s="1"/>
  <c r="P362" i="4" s="1"/>
  <c r="N364" i="4"/>
  <c r="N362" i="4" s="1"/>
  <c r="J367" i="4"/>
  <c r="K367" i="4"/>
  <c r="I368" i="4"/>
  <c r="J368" i="4"/>
  <c r="I369" i="4"/>
  <c r="J369" i="4"/>
  <c r="J370" i="4"/>
  <c r="K370" i="4"/>
  <c r="I371" i="4"/>
  <c r="I365" i="4" s="1"/>
  <c r="J371" i="4"/>
  <c r="J365" i="4" s="1"/>
  <c r="J372" i="4"/>
  <c r="K372" i="4"/>
  <c r="D373" i="4"/>
  <c r="I376" i="4"/>
  <c r="J376" i="4"/>
  <c r="K376" i="4"/>
  <c r="L378" i="4"/>
  <c r="M378" i="4"/>
  <c r="P378" i="4" s="1"/>
  <c r="N378" i="4"/>
  <c r="O381" i="4"/>
  <c r="P381" i="4"/>
  <c r="L382" i="4"/>
  <c r="L380" i="4" s="1"/>
  <c r="O380" i="4" s="1"/>
  <c r="M382" i="4"/>
  <c r="P382" i="4" s="1"/>
  <c r="N382" i="4"/>
  <c r="O384" i="4"/>
  <c r="P384" i="4"/>
  <c r="L385" i="4"/>
  <c r="L383" i="4" s="1"/>
  <c r="O383" i="4" s="1"/>
  <c r="M385" i="4"/>
  <c r="P385" i="4" s="1"/>
  <c r="N385" i="4"/>
  <c r="N383" i="4" s="1"/>
  <c r="K387" i="4"/>
  <c r="K388" i="4"/>
  <c r="A391" i="4"/>
  <c r="L22" i="3"/>
  <c r="M22" i="3"/>
  <c r="P22" i="3" s="1"/>
  <c r="N22" i="3"/>
  <c r="L25" i="3"/>
  <c r="O25" i="3" s="1"/>
  <c r="M25" i="3"/>
  <c r="P25" i="3" s="1"/>
  <c r="N25" i="3"/>
  <c r="L45" i="3"/>
  <c r="M45" i="3"/>
  <c r="N45" i="3"/>
  <c r="P45" i="3"/>
  <c r="O48" i="3"/>
  <c r="P48" i="3"/>
  <c r="L49" i="3"/>
  <c r="L47" i="3" s="1"/>
  <c r="M49" i="3"/>
  <c r="N49" i="3"/>
  <c r="O51" i="3"/>
  <c r="P51" i="3"/>
  <c r="L52" i="3"/>
  <c r="O52" i="3" s="1"/>
  <c r="M52" i="3"/>
  <c r="P52" i="3" s="1"/>
  <c r="N52" i="3"/>
  <c r="N50" i="3" s="1"/>
  <c r="L60" i="3"/>
  <c r="M60" i="3"/>
  <c r="N60" i="3"/>
  <c r="O60" i="3"/>
  <c r="O63" i="3"/>
  <c r="P63" i="3"/>
  <c r="L64" i="3"/>
  <c r="L62" i="3" s="1"/>
  <c r="M64" i="3"/>
  <c r="N64" i="3"/>
  <c r="N62" i="3" s="1"/>
  <c r="O66" i="3"/>
  <c r="P66" i="3"/>
  <c r="L67" i="3"/>
  <c r="L65" i="3" s="1"/>
  <c r="O65" i="3" s="1"/>
  <c r="M67" i="3"/>
  <c r="M65" i="3" s="1"/>
  <c r="P65" i="3" s="1"/>
  <c r="N67" i="3"/>
  <c r="N65" i="3" s="1"/>
  <c r="L73" i="3"/>
  <c r="O73" i="3" s="1"/>
  <c r="M73" i="3"/>
  <c r="N73" i="3"/>
  <c r="P73" i="3"/>
  <c r="O76" i="3"/>
  <c r="P76" i="3"/>
  <c r="L77" i="3"/>
  <c r="M77" i="3"/>
  <c r="M75" i="3" s="1"/>
  <c r="N77" i="3"/>
  <c r="N75" i="3" s="1"/>
  <c r="O79" i="3"/>
  <c r="P79" i="3"/>
  <c r="L80" i="3"/>
  <c r="L78" i="3" s="1"/>
  <c r="O78" i="3" s="1"/>
  <c r="M80" i="3"/>
  <c r="P80" i="3" s="1"/>
  <c r="N80" i="3"/>
  <c r="N78" i="3" s="1"/>
  <c r="J82" i="3"/>
  <c r="J70" i="3" s="1"/>
  <c r="J83" i="3"/>
  <c r="J71" i="3" s="1"/>
  <c r="I84" i="3"/>
  <c r="I85" i="3"/>
  <c r="K85" i="3" s="1"/>
  <c r="I86" i="3"/>
  <c r="K86" i="3" s="1"/>
  <c r="I87" i="3"/>
  <c r="K87" i="3" s="1"/>
  <c r="I88" i="3"/>
  <c r="K88" i="3" s="1"/>
  <c r="I89" i="3"/>
  <c r="K89" i="3" s="1"/>
  <c r="I90" i="3"/>
  <c r="K90" i="3" s="1"/>
  <c r="J92" i="3"/>
  <c r="J93" i="3"/>
  <c r="L95" i="3"/>
  <c r="M95" i="3"/>
  <c r="P95" i="3" s="1"/>
  <c r="N95" i="3"/>
  <c r="O98" i="3"/>
  <c r="P98" i="3"/>
  <c r="L99" i="3"/>
  <c r="L97" i="3" s="1"/>
  <c r="M99" i="3"/>
  <c r="N99" i="3"/>
  <c r="N97" i="3" s="1"/>
  <c r="O101" i="3"/>
  <c r="P101" i="3"/>
  <c r="L102" i="3"/>
  <c r="L100" i="3" s="1"/>
  <c r="O100" i="3" s="1"/>
  <c r="M102" i="3"/>
  <c r="M100" i="3" s="1"/>
  <c r="P100" i="3" s="1"/>
  <c r="N102" i="3"/>
  <c r="I108" i="3"/>
  <c r="K108" i="3" s="1"/>
  <c r="I109" i="3"/>
  <c r="I93" i="3" s="1"/>
  <c r="I117" i="3"/>
  <c r="K117" i="3" s="1"/>
  <c r="L126" i="3"/>
  <c r="O126" i="3" s="1"/>
  <c r="M126" i="3"/>
  <c r="N126" i="3"/>
  <c r="P126" i="3"/>
  <c r="O129" i="3"/>
  <c r="P129" i="3"/>
  <c r="L130" i="3"/>
  <c r="L128" i="3" s="1"/>
  <c r="O128" i="3" s="1"/>
  <c r="M130" i="3"/>
  <c r="P130" i="3" s="1"/>
  <c r="N130" i="3"/>
  <c r="N128" i="3" s="1"/>
  <c r="O132" i="3"/>
  <c r="P132" i="3"/>
  <c r="L133" i="3"/>
  <c r="L131" i="3" s="1"/>
  <c r="O131" i="3" s="1"/>
  <c r="M133" i="3"/>
  <c r="M131" i="3" s="1"/>
  <c r="P131" i="3" s="1"/>
  <c r="N133" i="3"/>
  <c r="N131" i="3" s="1"/>
  <c r="J136" i="3"/>
  <c r="J137" i="3"/>
  <c r="J138" i="3"/>
  <c r="L140" i="3"/>
  <c r="M140" i="3"/>
  <c r="P140" i="3" s="1"/>
  <c r="N140" i="3"/>
  <c r="O143" i="3"/>
  <c r="P143" i="3"/>
  <c r="L144" i="3"/>
  <c r="M144" i="3"/>
  <c r="M142" i="3" s="1"/>
  <c r="N144" i="3"/>
  <c r="O146" i="3"/>
  <c r="P146" i="3"/>
  <c r="L147" i="3"/>
  <c r="L145" i="3" s="1"/>
  <c r="O145" i="3" s="1"/>
  <c r="M147" i="3"/>
  <c r="P147" i="3" s="1"/>
  <c r="N147" i="3"/>
  <c r="N145" i="3" s="1"/>
  <c r="I150" i="3"/>
  <c r="K150" i="3" s="1"/>
  <c r="I151" i="3"/>
  <c r="K151" i="3" s="1"/>
  <c r="I152" i="3"/>
  <c r="I153" i="3"/>
  <c r="I138" i="3" s="1"/>
  <c r="K138" i="3" s="1"/>
  <c r="I154" i="3"/>
  <c r="K154" i="3" s="1"/>
  <c r="J156" i="3"/>
  <c r="L158" i="3"/>
  <c r="O158" i="3" s="1"/>
  <c r="M158" i="3"/>
  <c r="P158" i="3" s="1"/>
  <c r="N158" i="3"/>
  <c r="O161" i="3"/>
  <c r="P161" i="3"/>
  <c r="L162" i="3"/>
  <c r="M162" i="3"/>
  <c r="P162" i="3" s="1"/>
  <c r="N162" i="3"/>
  <c r="N160" i="3" s="1"/>
  <c r="O164" i="3"/>
  <c r="P164" i="3"/>
  <c r="L165" i="3"/>
  <c r="L163" i="3" s="1"/>
  <c r="O163" i="3" s="1"/>
  <c r="M165" i="3"/>
  <c r="P165" i="3" s="1"/>
  <c r="N165" i="3"/>
  <c r="N163" i="3" s="1"/>
  <c r="I167" i="3"/>
  <c r="K167" i="3" s="1"/>
  <c r="I168" i="3"/>
  <c r="K168" i="3" s="1"/>
  <c r="I169" i="3"/>
  <c r="K169" i="3" s="1"/>
  <c r="J172" i="3"/>
  <c r="L174" i="3"/>
  <c r="O174" i="3" s="1"/>
  <c r="M174" i="3"/>
  <c r="N174" i="3"/>
  <c r="P174" i="3"/>
  <c r="O177" i="3"/>
  <c r="P177" i="3"/>
  <c r="L178" i="3"/>
  <c r="M178" i="3"/>
  <c r="M176" i="3" s="1"/>
  <c r="N178" i="3"/>
  <c r="N176" i="3" s="1"/>
  <c r="O180" i="3"/>
  <c r="P180" i="3"/>
  <c r="L181" i="3"/>
  <c r="L179" i="3" s="1"/>
  <c r="O179" i="3" s="1"/>
  <c r="M181" i="3"/>
  <c r="P181" i="3" s="1"/>
  <c r="N181" i="3"/>
  <c r="N179" i="3" s="1"/>
  <c r="I183" i="3"/>
  <c r="K183" i="3" s="1"/>
  <c r="K184" i="3"/>
  <c r="L187" i="3"/>
  <c r="M187" i="3"/>
  <c r="N187" i="3"/>
  <c r="O187" i="3"/>
  <c r="O190" i="3"/>
  <c r="P190" i="3"/>
  <c r="L191" i="3"/>
  <c r="L189" i="3" s="1"/>
  <c r="M191" i="3"/>
  <c r="M189" i="3" s="1"/>
  <c r="N191" i="3"/>
  <c r="N189" i="3" s="1"/>
  <c r="O193" i="3"/>
  <c r="P193" i="3"/>
  <c r="L194" i="3"/>
  <c r="L192" i="3" s="1"/>
  <c r="O192" i="3" s="1"/>
  <c r="M194" i="3"/>
  <c r="M192" i="3" s="1"/>
  <c r="P192" i="3" s="1"/>
  <c r="N194" i="3"/>
  <c r="N192" i="3" s="1"/>
  <c r="J195" i="3"/>
  <c r="L196" i="3"/>
  <c r="O196" i="3" s="1"/>
  <c r="P196" i="3"/>
  <c r="I198" i="3"/>
  <c r="I195" i="3" s="1"/>
  <c r="J199" i="3"/>
  <c r="J202" i="3"/>
  <c r="N203" i="3"/>
  <c r="P203" i="3"/>
  <c r="L204" i="3"/>
  <c r="L205" i="3"/>
  <c r="L206" i="3"/>
  <c r="L207" i="3"/>
  <c r="I209" i="3"/>
  <c r="K209" i="3" s="1"/>
  <c r="I211" i="3"/>
  <c r="K211" i="3" s="1"/>
  <c r="I212" i="3"/>
  <c r="K212" i="3" s="1"/>
  <c r="J213" i="3"/>
  <c r="N214" i="3"/>
  <c r="P214" i="3"/>
  <c r="L215" i="3"/>
  <c r="L216" i="3"/>
  <c r="L217" i="3"/>
  <c r="I219" i="3"/>
  <c r="K219" i="3" s="1"/>
  <c r="I220" i="3"/>
  <c r="I213" i="3" s="1"/>
  <c r="K213" i="3" s="1"/>
  <c r="J221" i="3"/>
  <c r="N222" i="3"/>
  <c r="P222" i="3"/>
  <c r="L223" i="3"/>
  <c r="L224" i="3"/>
  <c r="L225" i="3"/>
  <c r="I228" i="3"/>
  <c r="K228" i="3" s="1"/>
  <c r="I229" i="3"/>
  <c r="K229" i="3" s="1"/>
  <c r="I230" i="3"/>
  <c r="K230" i="3" s="1"/>
  <c r="N233" i="3"/>
  <c r="N234" i="3"/>
  <c r="N235" i="3"/>
  <c r="N236" i="3"/>
  <c r="J238" i="3"/>
  <c r="I240" i="3"/>
  <c r="K240" i="3" s="1"/>
  <c r="J240" i="3"/>
  <c r="I241" i="3"/>
  <c r="K241" i="3" s="1"/>
  <c r="J241" i="3"/>
  <c r="J242" i="3"/>
  <c r="N243" i="3"/>
  <c r="N232" i="3" s="1"/>
  <c r="P243" i="3"/>
  <c r="L244" i="3"/>
  <c r="L245" i="3"/>
  <c r="L246" i="3"/>
  <c r="L247" i="3"/>
  <c r="I249" i="3"/>
  <c r="K251" i="3"/>
  <c r="K252" i="3"/>
  <c r="J253" i="3"/>
  <c r="J231" i="3" s="1"/>
  <c r="J185" i="3" s="1"/>
  <c r="N254" i="3"/>
  <c r="P254" i="3"/>
  <c r="L255" i="3"/>
  <c r="L256" i="3"/>
  <c r="L257" i="3"/>
  <c r="L258" i="3"/>
  <c r="I260" i="3"/>
  <c r="I253" i="3" s="1"/>
  <c r="K253" i="3" s="1"/>
  <c r="K262" i="3"/>
  <c r="K263" i="3"/>
  <c r="I265" i="3"/>
  <c r="K265" i="3" s="1"/>
  <c r="J265" i="3"/>
  <c r="L267" i="3"/>
  <c r="O267" i="3" s="1"/>
  <c r="M267" i="3"/>
  <c r="N267" i="3"/>
  <c r="P267" i="3"/>
  <c r="O270" i="3"/>
  <c r="P270" i="3"/>
  <c r="L271" i="3"/>
  <c r="L269" i="3" s="1"/>
  <c r="O269" i="3" s="1"/>
  <c r="M271" i="3"/>
  <c r="M269" i="3" s="1"/>
  <c r="P269" i="3" s="1"/>
  <c r="N271" i="3"/>
  <c r="N269" i="3" s="1"/>
  <c r="O273" i="3"/>
  <c r="P273" i="3"/>
  <c r="L274" i="3"/>
  <c r="L272" i="3" s="1"/>
  <c r="O272" i="3" s="1"/>
  <c r="M274" i="3"/>
  <c r="P274" i="3" s="1"/>
  <c r="N274" i="3"/>
  <c r="N272" i="3" s="1"/>
  <c r="J281" i="3"/>
  <c r="L283" i="3"/>
  <c r="O283" i="3" s="1"/>
  <c r="M283" i="3"/>
  <c r="P283" i="3" s="1"/>
  <c r="N283" i="3"/>
  <c r="O286" i="3"/>
  <c r="P286" i="3"/>
  <c r="L287" i="3"/>
  <c r="O287" i="3" s="1"/>
  <c r="M287" i="3"/>
  <c r="P287" i="3" s="1"/>
  <c r="N287" i="3"/>
  <c r="N285" i="3" s="1"/>
  <c r="O289" i="3"/>
  <c r="P289" i="3"/>
  <c r="L290" i="3"/>
  <c r="L288" i="3" s="1"/>
  <c r="O288" i="3" s="1"/>
  <c r="M290" i="3"/>
  <c r="P290" i="3" s="1"/>
  <c r="N290" i="3"/>
  <c r="N288" i="3" s="1"/>
  <c r="I292" i="3"/>
  <c r="K292" i="3" s="1"/>
  <c r="I293" i="3"/>
  <c r="K293" i="3" s="1"/>
  <c r="J293" i="3"/>
  <c r="J280" i="3" s="1"/>
  <c r="I295" i="3"/>
  <c r="K295" i="3" s="1"/>
  <c r="I296" i="3"/>
  <c r="K296" i="3" s="1"/>
  <c r="J302" i="3"/>
  <c r="L304" i="3"/>
  <c r="O304" i="3" s="1"/>
  <c r="M304" i="3"/>
  <c r="N304" i="3"/>
  <c r="P304" i="3"/>
  <c r="O307" i="3"/>
  <c r="P307" i="3"/>
  <c r="L308" i="3"/>
  <c r="O308" i="3" s="1"/>
  <c r="M308" i="3"/>
  <c r="M306" i="3" s="1"/>
  <c r="P306" i="3" s="1"/>
  <c r="N308" i="3"/>
  <c r="O310" i="3"/>
  <c r="P310" i="3"/>
  <c r="L311" i="3"/>
  <c r="O311" i="3" s="1"/>
  <c r="M311" i="3"/>
  <c r="M309" i="3" s="1"/>
  <c r="P309" i="3" s="1"/>
  <c r="N311" i="3"/>
  <c r="N309" i="3" s="1"/>
  <c r="I314" i="3"/>
  <c r="K314" i="3" s="1"/>
  <c r="I315" i="3"/>
  <c r="K315" i="3" s="1"/>
  <c r="I316" i="3"/>
  <c r="K316" i="3" s="1"/>
  <c r="I317" i="3"/>
  <c r="K317" i="3" s="1"/>
  <c r="J319" i="3"/>
  <c r="L321" i="3"/>
  <c r="O321" i="3" s="1"/>
  <c r="M321" i="3"/>
  <c r="N321" i="3"/>
  <c r="O324" i="3"/>
  <c r="P324" i="3"/>
  <c r="L325" i="3"/>
  <c r="L323" i="3" s="1"/>
  <c r="O323" i="3" s="1"/>
  <c r="M325" i="3"/>
  <c r="M323" i="3" s="1"/>
  <c r="P323" i="3" s="1"/>
  <c r="N325" i="3"/>
  <c r="O327" i="3"/>
  <c r="P327" i="3"/>
  <c r="L328" i="3"/>
  <c r="L326" i="3" s="1"/>
  <c r="O326" i="3" s="1"/>
  <c r="M328" i="3"/>
  <c r="M326" i="3" s="1"/>
  <c r="P326" i="3" s="1"/>
  <c r="N328" i="3"/>
  <c r="N326" i="3" s="1"/>
  <c r="I330" i="3"/>
  <c r="I319" i="3" s="1"/>
  <c r="K319" i="3" s="1"/>
  <c r="L334" i="3"/>
  <c r="M334" i="3"/>
  <c r="N334" i="3"/>
  <c r="O334" i="3"/>
  <c r="O337" i="3"/>
  <c r="P337" i="3"/>
  <c r="L338" i="3"/>
  <c r="L336" i="3" s="1"/>
  <c r="M338" i="3"/>
  <c r="M336" i="3" s="1"/>
  <c r="N338" i="3"/>
  <c r="N336" i="3" s="1"/>
  <c r="O340" i="3"/>
  <c r="P340" i="3"/>
  <c r="L341" i="3"/>
  <c r="O341" i="3" s="1"/>
  <c r="M341" i="3"/>
  <c r="M339" i="3" s="1"/>
  <c r="P339" i="3" s="1"/>
  <c r="N341" i="3"/>
  <c r="N339" i="3" s="1"/>
  <c r="I344" i="3"/>
  <c r="I332" i="3" s="1"/>
  <c r="J344" i="3"/>
  <c r="I346" i="3"/>
  <c r="J346" i="3"/>
  <c r="J347" i="3"/>
  <c r="J348" i="3"/>
  <c r="J349" i="3"/>
  <c r="D350" i="3"/>
  <c r="J352" i="3"/>
  <c r="J353" i="3"/>
  <c r="D354" i="3"/>
  <c r="L357" i="3"/>
  <c r="M357" i="3"/>
  <c r="P357" i="3" s="1"/>
  <c r="N357" i="3"/>
  <c r="O357" i="3"/>
  <c r="O360" i="3"/>
  <c r="P360" i="3"/>
  <c r="L361" i="3"/>
  <c r="L359" i="3" s="1"/>
  <c r="M361" i="3"/>
  <c r="N361" i="3"/>
  <c r="N359" i="3" s="1"/>
  <c r="O363" i="3"/>
  <c r="P363" i="3"/>
  <c r="L364" i="3"/>
  <c r="O364" i="3" s="1"/>
  <c r="M364" i="3"/>
  <c r="M362" i="3" s="1"/>
  <c r="P362" i="3" s="1"/>
  <c r="N364" i="3"/>
  <c r="N362" i="3" s="1"/>
  <c r="J367" i="3"/>
  <c r="K367" i="3"/>
  <c r="I368" i="3"/>
  <c r="J368" i="3"/>
  <c r="I369" i="3"/>
  <c r="J369" i="3"/>
  <c r="J370" i="3"/>
  <c r="K370" i="3"/>
  <c r="I371" i="3"/>
  <c r="I365" i="3" s="1"/>
  <c r="J371" i="3"/>
  <c r="J365" i="3" s="1"/>
  <c r="J372" i="3"/>
  <c r="K372" i="3"/>
  <c r="D373" i="3"/>
  <c r="I376" i="3"/>
  <c r="K376" i="3" s="1"/>
  <c r="J376" i="3"/>
  <c r="L378" i="3"/>
  <c r="M378" i="3"/>
  <c r="P378" i="3" s="1"/>
  <c r="N378" i="3"/>
  <c r="O378" i="3"/>
  <c r="O381" i="3"/>
  <c r="P381" i="3"/>
  <c r="L382" i="3"/>
  <c r="M382" i="3"/>
  <c r="N382" i="3"/>
  <c r="N380" i="3" s="1"/>
  <c r="O384" i="3"/>
  <c r="P384" i="3"/>
  <c r="L385" i="3"/>
  <c r="L383" i="3" s="1"/>
  <c r="O383" i="3" s="1"/>
  <c r="M385" i="3"/>
  <c r="P385" i="3" s="1"/>
  <c r="N385" i="3"/>
  <c r="N383" i="3" s="1"/>
  <c r="K387" i="3"/>
  <c r="K388" i="3"/>
  <c r="A391" i="3"/>
  <c r="L22" i="2"/>
  <c r="O22" i="2" s="1"/>
  <c r="M22" i="2"/>
  <c r="N22" i="2"/>
  <c r="N19" i="2" s="1"/>
  <c r="L25" i="2"/>
  <c r="O25" i="2" s="1"/>
  <c r="M25" i="2"/>
  <c r="N25" i="2"/>
  <c r="P25" i="2"/>
  <c r="L45" i="2"/>
  <c r="O45" i="2" s="1"/>
  <c r="M45" i="2"/>
  <c r="P45" i="2" s="1"/>
  <c r="N45" i="2"/>
  <c r="O48" i="2"/>
  <c r="P48" i="2"/>
  <c r="L49" i="2"/>
  <c r="M49" i="2"/>
  <c r="N49" i="2"/>
  <c r="N47" i="2" s="1"/>
  <c r="O51" i="2"/>
  <c r="P51" i="2"/>
  <c r="L52" i="2"/>
  <c r="L50" i="2" s="1"/>
  <c r="O50" i="2" s="1"/>
  <c r="M52" i="2"/>
  <c r="N52" i="2"/>
  <c r="N50" i="2" s="1"/>
  <c r="L60" i="2"/>
  <c r="M60" i="2"/>
  <c r="N60" i="2"/>
  <c r="O60" i="2"/>
  <c r="O63" i="2"/>
  <c r="P63" i="2"/>
  <c r="L64" i="2"/>
  <c r="M64" i="2"/>
  <c r="M62" i="2" s="1"/>
  <c r="N64" i="2"/>
  <c r="N62" i="2" s="1"/>
  <c r="O66" i="2"/>
  <c r="P66" i="2"/>
  <c r="L67" i="2"/>
  <c r="L65" i="2" s="1"/>
  <c r="O65" i="2" s="1"/>
  <c r="M67" i="2"/>
  <c r="M65" i="2" s="1"/>
  <c r="P65" i="2" s="1"/>
  <c r="N67" i="2"/>
  <c r="N65" i="2" s="1"/>
  <c r="L73" i="2"/>
  <c r="M73" i="2"/>
  <c r="N73" i="2"/>
  <c r="P73" i="2"/>
  <c r="O76" i="2"/>
  <c r="P76" i="2"/>
  <c r="L77" i="2"/>
  <c r="L75" i="2" s="1"/>
  <c r="O75" i="2" s="1"/>
  <c r="M77" i="2"/>
  <c r="P77" i="2" s="1"/>
  <c r="N77" i="2"/>
  <c r="N75" i="2" s="1"/>
  <c r="O79" i="2"/>
  <c r="P79" i="2"/>
  <c r="L80" i="2"/>
  <c r="L78" i="2" s="1"/>
  <c r="O78" i="2" s="1"/>
  <c r="M80" i="2"/>
  <c r="P80" i="2" s="1"/>
  <c r="N80" i="2"/>
  <c r="N78" i="2" s="1"/>
  <c r="J82" i="2"/>
  <c r="J70" i="2" s="1"/>
  <c r="J83" i="2"/>
  <c r="J71" i="2" s="1"/>
  <c r="I84" i="2"/>
  <c r="K84" i="2" s="1"/>
  <c r="I85" i="2"/>
  <c r="K85" i="2" s="1"/>
  <c r="I86" i="2"/>
  <c r="K86" i="2" s="1"/>
  <c r="I87" i="2"/>
  <c r="I88" i="2"/>
  <c r="K88" i="2" s="1"/>
  <c r="I89" i="2"/>
  <c r="K89" i="2" s="1"/>
  <c r="I90" i="2"/>
  <c r="K90" i="2" s="1"/>
  <c r="J92" i="2"/>
  <c r="J93" i="2"/>
  <c r="L95" i="2"/>
  <c r="O95" i="2" s="1"/>
  <c r="M95" i="2"/>
  <c r="P95" i="2" s="1"/>
  <c r="N95" i="2"/>
  <c r="O98" i="2"/>
  <c r="P98" i="2"/>
  <c r="L99" i="2"/>
  <c r="M99" i="2"/>
  <c r="M97" i="2" s="1"/>
  <c r="P97" i="2" s="1"/>
  <c r="N99" i="2"/>
  <c r="N97" i="2" s="1"/>
  <c r="O101" i="2"/>
  <c r="P101" i="2"/>
  <c r="L102" i="2"/>
  <c r="L100" i="2" s="1"/>
  <c r="O100" i="2" s="1"/>
  <c r="M102" i="2"/>
  <c r="N102" i="2"/>
  <c r="I108" i="2"/>
  <c r="I92" i="2" s="1"/>
  <c r="K92" i="2" s="1"/>
  <c r="I109" i="2"/>
  <c r="I93" i="2" s="1"/>
  <c r="K93" i="2" s="1"/>
  <c r="I117" i="2"/>
  <c r="K117" i="2" s="1"/>
  <c r="L126" i="2"/>
  <c r="O126" i="2" s="1"/>
  <c r="M126" i="2"/>
  <c r="N126" i="2"/>
  <c r="P126" i="2"/>
  <c r="O129" i="2"/>
  <c r="P129" i="2"/>
  <c r="L130" i="2"/>
  <c r="L128" i="2" s="1"/>
  <c r="O128" i="2" s="1"/>
  <c r="M130" i="2"/>
  <c r="M128" i="2" s="1"/>
  <c r="P128" i="2" s="1"/>
  <c r="N130" i="2"/>
  <c r="O132" i="2"/>
  <c r="P132" i="2"/>
  <c r="L133" i="2"/>
  <c r="L131" i="2" s="1"/>
  <c r="O131" i="2" s="1"/>
  <c r="M133" i="2"/>
  <c r="M131" i="2" s="1"/>
  <c r="P131" i="2" s="1"/>
  <c r="N133" i="2"/>
  <c r="N131" i="2" s="1"/>
  <c r="J136" i="2"/>
  <c r="J137" i="2"/>
  <c r="J138" i="2"/>
  <c r="L140" i="2"/>
  <c r="M140" i="2"/>
  <c r="P140" i="2" s="1"/>
  <c r="N140" i="2"/>
  <c r="O140" i="2"/>
  <c r="O143" i="2"/>
  <c r="P143" i="2"/>
  <c r="L144" i="2"/>
  <c r="L142" i="2" s="1"/>
  <c r="O142" i="2" s="1"/>
  <c r="M144" i="2"/>
  <c r="M142" i="2" s="1"/>
  <c r="P142" i="2" s="1"/>
  <c r="N144" i="2"/>
  <c r="N142" i="2" s="1"/>
  <c r="O146" i="2"/>
  <c r="P146" i="2"/>
  <c r="L147" i="2"/>
  <c r="L145" i="2" s="1"/>
  <c r="O145" i="2" s="1"/>
  <c r="M147" i="2"/>
  <c r="P147" i="2" s="1"/>
  <c r="N147" i="2"/>
  <c r="N145" i="2" s="1"/>
  <c r="I150" i="2"/>
  <c r="K150" i="2" s="1"/>
  <c r="I151" i="2"/>
  <c r="K151" i="2" s="1"/>
  <c r="I152" i="2"/>
  <c r="I153" i="2"/>
  <c r="I138" i="2" s="1"/>
  <c r="K138" i="2" s="1"/>
  <c r="I154" i="2"/>
  <c r="K154" i="2" s="1"/>
  <c r="J156" i="2"/>
  <c r="L158" i="2"/>
  <c r="M158" i="2"/>
  <c r="P158" i="2" s="1"/>
  <c r="N158" i="2"/>
  <c r="O161" i="2"/>
  <c r="P161" i="2"/>
  <c r="L162" i="2"/>
  <c r="L160" i="2" s="1"/>
  <c r="M162" i="2"/>
  <c r="P162" i="2" s="1"/>
  <c r="N162" i="2"/>
  <c r="N160" i="2" s="1"/>
  <c r="O164" i="2"/>
  <c r="P164" i="2"/>
  <c r="L165" i="2"/>
  <c r="L163" i="2" s="1"/>
  <c r="O163" i="2" s="1"/>
  <c r="M165" i="2"/>
  <c r="P165" i="2" s="1"/>
  <c r="N165" i="2"/>
  <c r="N163" i="2" s="1"/>
  <c r="I167" i="2"/>
  <c r="I156" i="2" s="1"/>
  <c r="K156" i="2" s="1"/>
  <c r="J172" i="2"/>
  <c r="L174" i="2"/>
  <c r="M174" i="2"/>
  <c r="N174" i="2"/>
  <c r="P174" i="2"/>
  <c r="O177" i="2"/>
  <c r="P177" i="2"/>
  <c r="L178" i="2"/>
  <c r="L176" i="2" s="1"/>
  <c r="M178" i="2"/>
  <c r="N178" i="2"/>
  <c r="N176" i="2" s="1"/>
  <c r="O180" i="2"/>
  <c r="P180" i="2"/>
  <c r="L181" i="2"/>
  <c r="L179" i="2" s="1"/>
  <c r="O179" i="2" s="1"/>
  <c r="M181" i="2"/>
  <c r="P181" i="2" s="1"/>
  <c r="N181" i="2"/>
  <c r="N179" i="2" s="1"/>
  <c r="I183" i="2"/>
  <c r="K183" i="2" s="1"/>
  <c r="K184" i="2"/>
  <c r="L187" i="2"/>
  <c r="O187" i="2" s="1"/>
  <c r="M187" i="2"/>
  <c r="P187" i="2" s="1"/>
  <c r="N187" i="2"/>
  <c r="O190" i="2"/>
  <c r="P190" i="2"/>
  <c r="L191" i="2"/>
  <c r="L189" i="2" s="1"/>
  <c r="M191" i="2"/>
  <c r="N191" i="2"/>
  <c r="N189" i="2" s="1"/>
  <c r="O193" i="2"/>
  <c r="P193" i="2"/>
  <c r="L194" i="2"/>
  <c r="L192" i="2" s="1"/>
  <c r="O192" i="2" s="1"/>
  <c r="M194" i="2"/>
  <c r="M192" i="2" s="1"/>
  <c r="P192" i="2" s="1"/>
  <c r="N194" i="2"/>
  <c r="N192" i="2" s="1"/>
  <c r="J195" i="2"/>
  <c r="L196" i="2"/>
  <c r="O196" i="2" s="1"/>
  <c r="P196" i="2"/>
  <c r="I198" i="2"/>
  <c r="I195" i="2" s="1"/>
  <c r="J199" i="2"/>
  <c r="J202" i="2"/>
  <c r="N203" i="2"/>
  <c r="P203" i="2"/>
  <c r="L204" i="2"/>
  <c r="L205" i="2"/>
  <c r="L206" i="2"/>
  <c r="L207" i="2"/>
  <c r="I209" i="2"/>
  <c r="I202" i="2" s="1"/>
  <c r="K202" i="2" s="1"/>
  <c r="I211" i="2"/>
  <c r="K211" i="2" s="1"/>
  <c r="I212" i="2"/>
  <c r="K212" i="2" s="1"/>
  <c r="J213" i="2"/>
  <c r="N214" i="2"/>
  <c r="P214" i="2"/>
  <c r="L215" i="2"/>
  <c r="L216" i="2"/>
  <c r="L217" i="2"/>
  <c r="I219" i="2"/>
  <c r="K219" i="2" s="1"/>
  <c r="I220" i="2"/>
  <c r="I213" i="2" s="1"/>
  <c r="K213" i="2" s="1"/>
  <c r="J221" i="2"/>
  <c r="N222" i="2"/>
  <c r="P222" i="2"/>
  <c r="L223" i="2"/>
  <c r="L224" i="2"/>
  <c r="L225" i="2"/>
  <c r="I228" i="2"/>
  <c r="K228" i="2" s="1"/>
  <c r="I229" i="2"/>
  <c r="K229" i="2" s="1"/>
  <c r="I230" i="2"/>
  <c r="K230" i="2" s="1"/>
  <c r="N233" i="2"/>
  <c r="N234" i="2"/>
  <c r="N235" i="2"/>
  <c r="N236" i="2"/>
  <c r="J238" i="2"/>
  <c r="I240" i="2"/>
  <c r="K240" i="2" s="1"/>
  <c r="J240" i="2"/>
  <c r="I241" i="2"/>
  <c r="K241" i="2" s="1"/>
  <c r="J241" i="2"/>
  <c r="J242" i="2"/>
  <c r="N243" i="2"/>
  <c r="P243" i="2"/>
  <c r="L244" i="2"/>
  <c r="L245" i="2"/>
  <c r="L246" i="2"/>
  <c r="L247" i="2"/>
  <c r="I249" i="2"/>
  <c r="K249" i="2" s="1"/>
  <c r="K251" i="2"/>
  <c r="K252" i="2"/>
  <c r="J253" i="2"/>
  <c r="N254" i="2"/>
  <c r="P254" i="2"/>
  <c r="L255" i="2"/>
  <c r="L256" i="2"/>
  <c r="L257" i="2"/>
  <c r="L258" i="2"/>
  <c r="I260" i="2"/>
  <c r="K260" i="2" s="1"/>
  <c r="K262" i="2"/>
  <c r="K263" i="2"/>
  <c r="I265" i="2"/>
  <c r="K265" i="2" s="1"/>
  <c r="J265" i="2"/>
  <c r="L267" i="2"/>
  <c r="O267" i="2" s="1"/>
  <c r="M267" i="2"/>
  <c r="N267" i="2"/>
  <c r="O270" i="2"/>
  <c r="P270" i="2"/>
  <c r="L271" i="2"/>
  <c r="L269" i="2" s="1"/>
  <c r="O269" i="2" s="1"/>
  <c r="M271" i="2"/>
  <c r="N271" i="2"/>
  <c r="N269" i="2" s="1"/>
  <c r="O273" i="2"/>
  <c r="P273" i="2"/>
  <c r="L274" i="2"/>
  <c r="L272" i="2" s="1"/>
  <c r="O272" i="2" s="1"/>
  <c r="M274" i="2"/>
  <c r="M272" i="2" s="1"/>
  <c r="P272" i="2" s="1"/>
  <c r="N274" i="2"/>
  <c r="N272" i="2" s="1"/>
  <c r="J281" i="2"/>
  <c r="L283" i="2"/>
  <c r="O283" i="2" s="1"/>
  <c r="M283" i="2"/>
  <c r="N283" i="2"/>
  <c r="P283" i="2"/>
  <c r="O286" i="2"/>
  <c r="P286" i="2"/>
  <c r="L287" i="2"/>
  <c r="L285" i="2" s="1"/>
  <c r="M287" i="2"/>
  <c r="M285" i="2" s="1"/>
  <c r="N287" i="2"/>
  <c r="N285" i="2" s="1"/>
  <c r="O289" i="2"/>
  <c r="P289" i="2"/>
  <c r="L290" i="2"/>
  <c r="M290" i="2"/>
  <c r="N290" i="2"/>
  <c r="N288" i="2" s="1"/>
  <c r="I292" i="2"/>
  <c r="I281" i="2" s="1"/>
  <c r="K281" i="2" s="1"/>
  <c r="I293" i="2"/>
  <c r="J293" i="2"/>
  <c r="J280" i="2" s="1"/>
  <c r="I295" i="2"/>
  <c r="K295" i="2" s="1"/>
  <c r="I296" i="2"/>
  <c r="K296" i="2" s="1"/>
  <c r="J302" i="2"/>
  <c r="L304" i="2"/>
  <c r="M304" i="2"/>
  <c r="P304" i="2" s="1"/>
  <c r="N304" i="2"/>
  <c r="O304" i="2"/>
  <c r="O307" i="2"/>
  <c r="P307" i="2"/>
  <c r="L308" i="2"/>
  <c r="L306" i="2" s="1"/>
  <c r="O306" i="2" s="1"/>
  <c r="M308" i="2"/>
  <c r="N308" i="2"/>
  <c r="O310" i="2"/>
  <c r="P310" i="2"/>
  <c r="L311" i="2"/>
  <c r="L309" i="2" s="1"/>
  <c r="O309" i="2" s="1"/>
  <c r="M311" i="2"/>
  <c r="M309" i="2" s="1"/>
  <c r="P309" i="2" s="1"/>
  <c r="N311" i="2"/>
  <c r="N309" i="2" s="1"/>
  <c r="I314" i="2"/>
  <c r="I302" i="2" s="1"/>
  <c r="K302" i="2" s="1"/>
  <c r="I315" i="2"/>
  <c r="K315" i="2" s="1"/>
  <c r="I316" i="2"/>
  <c r="K316" i="2" s="1"/>
  <c r="I317" i="2"/>
  <c r="K317" i="2" s="1"/>
  <c r="J319" i="2"/>
  <c r="L321" i="2"/>
  <c r="M321" i="2"/>
  <c r="N321" i="2"/>
  <c r="O321" i="2"/>
  <c r="O324" i="2"/>
  <c r="P324" i="2"/>
  <c r="L325" i="2"/>
  <c r="L323" i="2" s="1"/>
  <c r="M325" i="2"/>
  <c r="M323" i="2" s="1"/>
  <c r="N325" i="2"/>
  <c r="N323" i="2" s="1"/>
  <c r="O327" i="2"/>
  <c r="P327" i="2"/>
  <c r="L328" i="2"/>
  <c r="M328" i="2"/>
  <c r="P328" i="2" s="1"/>
  <c r="N328" i="2"/>
  <c r="N326" i="2" s="1"/>
  <c r="I330" i="2"/>
  <c r="I319" i="2" s="1"/>
  <c r="K319" i="2" s="1"/>
  <c r="L334" i="2"/>
  <c r="M334" i="2"/>
  <c r="P334" i="2" s="1"/>
  <c r="N334" i="2"/>
  <c r="O334" i="2"/>
  <c r="O337" i="2"/>
  <c r="P337" i="2"/>
  <c r="L338" i="2"/>
  <c r="L336" i="2" s="1"/>
  <c r="M338" i="2"/>
  <c r="M336" i="2" s="1"/>
  <c r="N338" i="2"/>
  <c r="N336" i="2" s="1"/>
  <c r="O340" i="2"/>
  <c r="P340" i="2"/>
  <c r="L341" i="2"/>
  <c r="L339" i="2" s="1"/>
  <c r="O339" i="2" s="1"/>
  <c r="M341" i="2"/>
  <c r="N341" i="2"/>
  <c r="I344" i="2"/>
  <c r="J344" i="2"/>
  <c r="I346" i="2"/>
  <c r="J346" i="2"/>
  <c r="J347" i="2"/>
  <c r="J348" i="2"/>
  <c r="J349" i="2"/>
  <c r="D350" i="2"/>
  <c r="J352" i="2"/>
  <c r="J353" i="2"/>
  <c r="D354" i="2"/>
  <c r="L357" i="2"/>
  <c r="O357" i="2" s="1"/>
  <c r="M357" i="2"/>
  <c r="N357" i="2"/>
  <c r="O360" i="2"/>
  <c r="P360" i="2"/>
  <c r="L361" i="2"/>
  <c r="M361" i="2"/>
  <c r="N361" i="2"/>
  <c r="O363" i="2"/>
  <c r="P363" i="2"/>
  <c r="L364" i="2"/>
  <c r="L362" i="2" s="1"/>
  <c r="O362" i="2" s="1"/>
  <c r="M364" i="2"/>
  <c r="N364" i="2"/>
  <c r="N362" i="2" s="1"/>
  <c r="J367" i="2"/>
  <c r="K367" i="2"/>
  <c r="I368" i="2"/>
  <c r="J368" i="2"/>
  <c r="I369" i="2"/>
  <c r="J369" i="2"/>
  <c r="J370" i="2"/>
  <c r="K370" i="2"/>
  <c r="I371" i="2"/>
  <c r="J371" i="2"/>
  <c r="J365" i="2" s="1"/>
  <c r="J372" i="2"/>
  <c r="K372" i="2"/>
  <c r="D373" i="2"/>
  <c r="I376" i="2"/>
  <c r="K376" i="2" s="1"/>
  <c r="J376" i="2"/>
  <c r="L378" i="2"/>
  <c r="M378" i="2"/>
  <c r="N378" i="2"/>
  <c r="O381" i="2"/>
  <c r="P381" i="2"/>
  <c r="L382" i="2"/>
  <c r="M382" i="2"/>
  <c r="P382" i="2" s="1"/>
  <c r="N382" i="2"/>
  <c r="N380" i="2" s="1"/>
  <c r="O384" i="2"/>
  <c r="P384" i="2"/>
  <c r="L385" i="2"/>
  <c r="M385" i="2"/>
  <c r="P385" i="2" s="1"/>
  <c r="N385" i="2"/>
  <c r="N383" i="2" s="1"/>
  <c r="K387" i="2"/>
  <c r="K388" i="2"/>
  <c r="A391" i="2"/>
  <c r="A391" i="1"/>
  <c r="K388" i="1"/>
  <c r="K387" i="1"/>
  <c r="N385" i="1"/>
  <c r="M385" i="1"/>
  <c r="P385" i="1" s="1"/>
  <c r="L385" i="1"/>
  <c r="O385" i="1" s="1"/>
  <c r="N384" i="1"/>
  <c r="M384" i="1"/>
  <c r="L384" i="1"/>
  <c r="N382" i="1"/>
  <c r="M382" i="1"/>
  <c r="P382" i="1" s="1"/>
  <c r="L382" i="1"/>
  <c r="O382" i="1" s="1"/>
  <c r="N381" i="1"/>
  <c r="M381" i="1"/>
  <c r="L381" i="1"/>
  <c r="J376" i="1"/>
  <c r="I376" i="1"/>
  <c r="K376" i="1" s="1"/>
  <c r="D373" i="1"/>
  <c r="K372" i="1"/>
  <c r="J372" i="1"/>
  <c r="J371" i="1"/>
  <c r="J365" i="1" s="1"/>
  <c r="I371" i="1"/>
  <c r="K370" i="1"/>
  <c r="J370" i="1"/>
  <c r="J369" i="1"/>
  <c r="I369" i="1"/>
  <c r="J368" i="1"/>
  <c r="I368" i="1"/>
  <c r="K367" i="1"/>
  <c r="J367" i="1"/>
  <c r="N364" i="1"/>
  <c r="M364" i="1"/>
  <c r="P364" i="1" s="1"/>
  <c r="L364" i="1"/>
  <c r="O364" i="1" s="1"/>
  <c r="N363" i="1"/>
  <c r="M363" i="1"/>
  <c r="L363" i="1"/>
  <c r="O363" i="1" s="1"/>
  <c r="N361" i="1"/>
  <c r="M361" i="1"/>
  <c r="L361" i="1"/>
  <c r="N360" i="1"/>
  <c r="M360" i="1"/>
  <c r="P360" i="1" s="1"/>
  <c r="L360" i="1"/>
  <c r="O360" i="1" s="1"/>
  <c r="D354" i="1"/>
  <c r="J353" i="1"/>
  <c r="J352" i="1"/>
  <c r="D350" i="1"/>
  <c r="J349" i="1"/>
  <c r="J348" i="1"/>
  <c r="J347" i="1"/>
  <c r="J346" i="1"/>
  <c r="I346" i="1"/>
  <c r="J344" i="1"/>
  <c r="I344" i="1"/>
  <c r="N341" i="1"/>
  <c r="M341" i="1"/>
  <c r="P341" i="1" s="1"/>
  <c r="L341" i="1"/>
  <c r="O341" i="1" s="1"/>
  <c r="N340" i="1"/>
  <c r="M340" i="1"/>
  <c r="P340" i="1" s="1"/>
  <c r="L340" i="1"/>
  <c r="N338" i="1"/>
  <c r="M338" i="1"/>
  <c r="L338" i="1"/>
  <c r="N337" i="1"/>
  <c r="M337" i="1"/>
  <c r="L337" i="1"/>
  <c r="O337" i="1" s="1"/>
  <c r="J330" i="1"/>
  <c r="J319" i="1" s="1"/>
  <c r="I330" i="1"/>
  <c r="I319" i="1" s="1"/>
  <c r="N328" i="1"/>
  <c r="M328" i="1"/>
  <c r="P328" i="1" s="1"/>
  <c r="L328" i="1"/>
  <c r="O328" i="1" s="1"/>
  <c r="N327" i="1"/>
  <c r="M327" i="1"/>
  <c r="L327" i="1"/>
  <c r="O327" i="1" s="1"/>
  <c r="N325" i="1"/>
  <c r="M325" i="1"/>
  <c r="L325" i="1"/>
  <c r="N324" i="1"/>
  <c r="M324" i="1"/>
  <c r="P324" i="1" s="1"/>
  <c r="L324" i="1"/>
  <c r="J317" i="1"/>
  <c r="I317" i="1"/>
  <c r="J316" i="1"/>
  <c r="I316" i="1"/>
  <c r="J315" i="1"/>
  <c r="I315" i="1"/>
  <c r="J314" i="1"/>
  <c r="J302" i="1" s="1"/>
  <c r="I314" i="1"/>
  <c r="I302" i="1" s="1"/>
  <c r="J313" i="1"/>
  <c r="N311" i="1"/>
  <c r="M311" i="1"/>
  <c r="P311" i="1" s="1"/>
  <c r="L311" i="1"/>
  <c r="O311" i="1" s="1"/>
  <c r="N310" i="1"/>
  <c r="M310" i="1"/>
  <c r="P310" i="1" s="1"/>
  <c r="L310" i="1"/>
  <c r="O310" i="1" s="1"/>
  <c r="N308" i="1"/>
  <c r="N305" i="1" s="1"/>
  <c r="M308" i="1"/>
  <c r="L308" i="1"/>
  <c r="L305" i="1" s="1"/>
  <c r="N307" i="1"/>
  <c r="N304" i="1" s="1"/>
  <c r="M307" i="1"/>
  <c r="L307" i="1"/>
  <c r="O307" i="1" s="1"/>
  <c r="J296" i="1"/>
  <c r="I296" i="1"/>
  <c r="J295" i="1"/>
  <c r="I295" i="1"/>
  <c r="J293" i="1"/>
  <c r="J280" i="1" s="1"/>
  <c r="I293" i="1"/>
  <c r="J292" i="1"/>
  <c r="J281" i="1" s="1"/>
  <c r="I292" i="1"/>
  <c r="N290" i="1"/>
  <c r="M290" i="1"/>
  <c r="L290" i="1"/>
  <c r="O290" i="1" s="1"/>
  <c r="N289" i="1"/>
  <c r="M289" i="1"/>
  <c r="P289" i="1" s="1"/>
  <c r="L289" i="1"/>
  <c r="N287" i="1"/>
  <c r="M287" i="1"/>
  <c r="L287" i="1"/>
  <c r="N286" i="1"/>
  <c r="M286" i="1"/>
  <c r="L286" i="1"/>
  <c r="O286" i="1" s="1"/>
  <c r="N274" i="1"/>
  <c r="M274" i="1"/>
  <c r="L274" i="1"/>
  <c r="O274" i="1" s="1"/>
  <c r="N273" i="1"/>
  <c r="M273" i="1"/>
  <c r="P273" i="1" s="1"/>
  <c r="L273" i="1"/>
  <c r="O273" i="1" s="1"/>
  <c r="N271" i="1"/>
  <c r="M271" i="1"/>
  <c r="P271" i="1" s="1"/>
  <c r="L271" i="1"/>
  <c r="N270" i="1"/>
  <c r="M270" i="1"/>
  <c r="L270" i="1"/>
  <c r="K265" i="1"/>
  <c r="K241" i="1"/>
  <c r="J241" i="1"/>
  <c r="K240" i="1"/>
  <c r="J240" i="1"/>
  <c r="J238" i="1"/>
  <c r="I238" i="1"/>
  <c r="N236" i="1"/>
  <c r="L236" i="1"/>
  <c r="N235" i="1"/>
  <c r="L235" i="1"/>
  <c r="N234" i="1"/>
  <c r="L234" i="1"/>
  <c r="N233" i="1"/>
  <c r="L233" i="1"/>
  <c r="K231" i="1"/>
  <c r="J231" i="1"/>
  <c r="I231" i="1"/>
  <c r="J230" i="1"/>
  <c r="J185" i="1" s="1"/>
  <c r="I230" i="1"/>
  <c r="J229" i="1"/>
  <c r="J221" i="1" s="1"/>
  <c r="I229" i="1"/>
  <c r="J228" i="1"/>
  <c r="I228" i="1"/>
  <c r="N224" i="1"/>
  <c r="L224" i="1"/>
  <c r="N223" i="1"/>
  <c r="L223" i="1"/>
  <c r="J220" i="1"/>
  <c r="J213" i="1" s="1"/>
  <c r="I220" i="1"/>
  <c r="I213" i="1" s="1"/>
  <c r="J219" i="1"/>
  <c r="I219" i="1"/>
  <c r="N217" i="1"/>
  <c r="L217" i="1"/>
  <c r="N216" i="1"/>
  <c r="L216" i="1"/>
  <c r="N215" i="1"/>
  <c r="L215" i="1"/>
  <c r="K212" i="1"/>
  <c r="J212" i="1"/>
  <c r="K211" i="1"/>
  <c r="J211" i="1"/>
  <c r="J209" i="1"/>
  <c r="J202" i="1" s="1"/>
  <c r="I209" i="1"/>
  <c r="N207" i="1"/>
  <c r="L207" i="1"/>
  <c r="N206" i="1"/>
  <c r="L206" i="1"/>
  <c r="N204" i="1"/>
  <c r="L204" i="1"/>
  <c r="J201" i="1"/>
  <c r="J200" i="1"/>
  <c r="J198" i="1"/>
  <c r="J195" i="1" s="1"/>
  <c r="I198" i="1"/>
  <c r="I195" i="1" s="1"/>
  <c r="N196" i="1"/>
  <c r="L196" i="1"/>
  <c r="N194" i="1"/>
  <c r="M194" i="1"/>
  <c r="P194" i="1" s="1"/>
  <c r="L194" i="1"/>
  <c r="N193" i="1"/>
  <c r="M193" i="1"/>
  <c r="L193" i="1"/>
  <c r="N191" i="1"/>
  <c r="M191" i="1"/>
  <c r="M188" i="1" s="1"/>
  <c r="L191" i="1"/>
  <c r="N190" i="1"/>
  <c r="M190" i="1"/>
  <c r="L190" i="1"/>
  <c r="K184" i="1"/>
  <c r="J183" i="1"/>
  <c r="J172" i="1" s="1"/>
  <c r="I183" i="1"/>
  <c r="I172" i="1" s="1"/>
  <c r="N181" i="1"/>
  <c r="M181" i="1"/>
  <c r="L181" i="1"/>
  <c r="O181" i="1" s="1"/>
  <c r="N180" i="1"/>
  <c r="M180" i="1"/>
  <c r="P180" i="1" s="1"/>
  <c r="L180" i="1"/>
  <c r="N178" i="1"/>
  <c r="M178" i="1"/>
  <c r="L178" i="1"/>
  <c r="N177" i="1"/>
  <c r="N174" i="1" s="1"/>
  <c r="M177" i="1"/>
  <c r="P177" i="1" s="1"/>
  <c r="L177" i="1"/>
  <c r="O177" i="1" s="1"/>
  <c r="J167" i="1"/>
  <c r="I167" i="1"/>
  <c r="I156" i="1" s="1"/>
  <c r="K156" i="1" s="1"/>
  <c r="N165" i="1"/>
  <c r="M165" i="1"/>
  <c r="P165" i="1" s="1"/>
  <c r="L165" i="1"/>
  <c r="N164" i="1"/>
  <c r="M164" i="1"/>
  <c r="P164" i="1" s="1"/>
  <c r="L164" i="1"/>
  <c r="N162" i="1"/>
  <c r="M162" i="1"/>
  <c r="L162" i="1"/>
  <c r="N161" i="1"/>
  <c r="M161" i="1"/>
  <c r="P161" i="1" s="1"/>
  <c r="L161" i="1"/>
  <c r="J156" i="1"/>
  <c r="J154" i="1"/>
  <c r="J136" i="1" s="1"/>
  <c r="I154" i="1"/>
  <c r="I136" i="1" s="1"/>
  <c r="J153" i="1"/>
  <c r="J138" i="1" s="1"/>
  <c r="I153" i="1"/>
  <c r="J152" i="1"/>
  <c r="J137" i="1" s="1"/>
  <c r="I152" i="1"/>
  <c r="I137" i="1" s="1"/>
  <c r="J151" i="1"/>
  <c r="I151" i="1"/>
  <c r="J150" i="1"/>
  <c r="I150" i="1"/>
  <c r="J149" i="1"/>
  <c r="N147" i="1"/>
  <c r="M147" i="1"/>
  <c r="P147" i="1" s="1"/>
  <c r="L147" i="1"/>
  <c r="O147" i="1" s="1"/>
  <c r="N146" i="1"/>
  <c r="M146" i="1"/>
  <c r="P146" i="1" s="1"/>
  <c r="L146" i="1"/>
  <c r="O146" i="1" s="1"/>
  <c r="N144" i="1"/>
  <c r="M144" i="1"/>
  <c r="L144" i="1"/>
  <c r="N143" i="1"/>
  <c r="M143" i="1"/>
  <c r="P143" i="1" s="1"/>
  <c r="L143" i="1"/>
  <c r="N133" i="1"/>
  <c r="M133" i="1"/>
  <c r="P133" i="1" s="1"/>
  <c r="L133" i="1"/>
  <c r="N132" i="1"/>
  <c r="M132" i="1"/>
  <c r="L132" i="1"/>
  <c r="O132" i="1" s="1"/>
  <c r="N130" i="1"/>
  <c r="M130" i="1"/>
  <c r="L130" i="1"/>
  <c r="O130" i="1" s="1"/>
  <c r="N129" i="1"/>
  <c r="M129" i="1"/>
  <c r="P129" i="1" s="1"/>
  <c r="L129" i="1"/>
  <c r="J117" i="1"/>
  <c r="I117" i="1"/>
  <c r="J116" i="1"/>
  <c r="I116" i="1"/>
  <c r="J115" i="1"/>
  <c r="I115" i="1"/>
  <c r="J114" i="1"/>
  <c r="I114" i="1"/>
  <c r="J113" i="1"/>
  <c r="I113" i="1"/>
  <c r="J112" i="1"/>
  <c r="I112" i="1"/>
  <c r="J111" i="1"/>
  <c r="I111" i="1"/>
  <c r="J110" i="1"/>
  <c r="I110" i="1"/>
  <c r="J109" i="1"/>
  <c r="I109" i="1"/>
  <c r="I93" i="1" s="1"/>
  <c r="J108" i="1"/>
  <c r="J92" i="1" s="1"/>
  <c r="I108" i="1"/>
  <c r="N102" i="1"/>
  <c r="M102" i="1"/>
  <c r="P102" i="1" s="1"/>
  <c r="L102" i="1"/>
  <c r="O102" i="1" s="1"/>
  <c r="N101" i="1"/>
  <c r="M101" i="1"/>
  <c r="L101" i="1"/>
  <c r="N99" i="1"/>
  <c r="M99" i="1"/>
  <c r="L99" i="1"/>
  <c r="N98" i="1"/>
  <c r="M98" i="1"/>
  <c r="P98" i="1" s="1"/>
  <c r="L98" i="1"/>
  <c r="O98" i="1" s="1"/>
  <c r="J90" i="1"/>
  <c r="I90" i="1"/>
  <c r="J89" i="1"/>
  <c r="I89" i="1"/>
  <c r="J88" i="1"/>
  <c r="I88" i="1"/>
  <c r="J87" i="1"/>
  <c r="I87" i="1"/>
  <c r="K87" i="1" s="1"/>
  <c r="J86" i="1"/>
  <c r="I86" i="1"/>
  <c r="K86" i="1" s="1"/>
  <c r="J85" i="1"/>
  <c r="I85" i="1"/>
  <c r="K85" i="1" s="1"/>
  <c r="J84" i="1"/>
  <c r="I84" i="1"/>
  <c r="N80" i="1"/>
  <c r="M80" i="1"/>
  <c r="P80" i="1" s="1"/>
  <c r="L80" i="1"/>
  <c r="O80" i="1" s="1"/>
  <c r="N79" i="1"/>
  <c r="M79" i="1"/>
  <c r="L79" i="1"/>
  <c r="N77" i="1"/>
  <c r="M77" i="1"/>
  <c r="L77" i="1"/>
  <c r="N76" i="1"/>
  <c r="M76" i="1"/>
  <c r="L76" i="1"/>
  <c r="O76" i="1" s="1"/>
  <c r="N67" i="1"/>
  <c r="M67" i="1"/>
  <c r="P67" i="1" s="1"/>
  <c r="L67" i="1"/>
  <c r="N66" i="1"/>
  <c r="M66" i="1"/>
  <c r="P66" i="1" s="1"/>
  <c r="L66" i="1"/>
  <c r="O66" i="1" s="1"/>
  <c r="N64" i="1"/>
  <c r="M64" i="1"/>
  <c r="L64" i="1"/>
  <c r="N63" i="1"/>
  <c r="M63" i="1"/>
  <c r="P63" i="1" s="1"/>
  <c r="L63" i="1"/>
  <c r="N55" i="1"/>
  <c r="N29" i="1" s="1"/>
  <c r="M55" i="1"/>
  <c r="P55" i="1" s="1"/>
  <c r="L55" i="1"/>
  <c r="L29" i="1" s="1"/>
  <c r="O29" i="1" s="1"/>
  <c r="N54" i="1"/>
  <c r="M54" i="1"/>
  <c r="M28" i="1" s="1"/>
  <c r="P28" i="1" s="1"/>
  <c r="L54" i="1"/>
  <c r="L28" i="1" s="1"/>
  <c r="O28" i="1" s="1"/>
  <c r="N52" i="1"/>
  <c r="M52" i="1"/>
  <c r="P52" i="1" s="1"/>
  <c r="L52" i="1"/>
  <c r="N51" i="1"/>
  <c r="M51" i="1"/>
  <c r="P51" i="1" s="1"/>
  <c r="L51" i="1"/>
  <c r="O51" i="1" s="1"/>
  <c r="N49" i="1"/>
  <c r="M49" i="1"/>
  <c r="L49" i="1"/>
  <c r="N48" i="1"/>
  <c r="M48" i="1"/>
  <c r="L48" i="1"/>
  <c r="O48" i="1" s="1"/>
  <c r="A3" i="1"/>
  <c r="L179" i="21" l="1"/>
  <c r="O179" i="21" s="1"/>
  <c r="N358" i="21"/>
  <c r="N356" i="21" s="1"/>
  <c r="L175" i="21"/>
  <c r="L173" i="21" s="1"/>
  <c r="M272" i="21"/>
  <c r="P272" i="21" s="1"/>
  <c r="P338" i="21"/>
  <c r="L335" i="21"/>
  <c r="L333" i="21" s="1"/>
  <c r="P271" i="21"/>
  <c r="L141" i="21"/>
  <c r="L139" i="21" s="1"/>
  <c r="O364" i="21"/>
  <c r="K292" i="21"/>
  <c r="P178" i="21"/>
  <c r="L176" i="21"/>
  <c r="O176" i="21" s="1"/>
  <c r="L50" i="21"/>
  <c r="O50" i="21" s="1"/>
  <c r="P385" i="21"/>
  <c r="K365" i="21"/>
  <c r="L339" i="21"/>
  <c r="O339" i="21" s="1"/>
  <c r="K314" i="21"/>
  <c r="O271" i="21"/>
  <c r="P191" i="21"/>
  <c r="O385" i="21"/>
  <c r="L336" i="21"/>
  <c r="P290" i="21"/>
  <c r="P311" i="21"/>
  <c r="I136" i="21"/>
  <c r="K136" i="21" s="1"/>
  <c r="M131" i="21"/>
  <c r="P131" i="21" s="1"/>
  <c r="P178" i="20"/>
  <c r="N127" i="20"/>
  <c r="N125" i="20" s="1"/>
  <c r="L61" i="21"/>
  <c r="L59" i="21" s="1"/>
  <c r="K229" i="21"/>
  <c r="K369" i="21"/>
  <c r="J351" i="21"/>
  <c r="K346" i="21"/>
  <c r="M305" i="21"/>
  <c r="P305" i="21" s="1"/>
  <c r="P287" i="21"/>
  <c r="L159" i="21"/>
  <c r="O159" i="21" s="1"/>
  <c r="I93" i="21"/>
  <c r="K93" i="21" s="1"/>
  <c r="L65" i="21"/>
  <c r="O65" i="21" s="1"/>
  <c r="K369" i="20"/>
  <c r="P361" i="20"/>
  <c r="L288" i="20"/>
  <c r="O288" i="20" s="1"/>
  <c r="P359" i="21"/>
  <c r="K344" i="21"/>
  <c r="L268" i="21"/>
  <c r="O268" i="21" s="1"/>
  <c r="K251" i="21"/>
  <c r="L203" i="21"/>
  <c r="O203" i="21" s="1"/>
  <c r="M96" i="21"/>
  <c r="P96" i="21" s="1"/>
  <c r="O77" i="21"/>
  <c r="P64" i="21"/>
  <c r="L358" i="21"/>
  <c r="L356" i="21" s="1"/>
  <c r="L188" i="21"/>
  <c r="L186" i="21" s="1"/>
  <c r="O165" i="21"/>
  <c r="M145" i="21"/>
  <c r="P145" i="21" s="1"/>
  <c r="L96" i="21"/>
  <c r="L94" i="21" s="1"/>
  <c r="O94" i="21" s="1"/>
  <c r="P325" i="20"/>
  <c r="M379" i="21"/>
  <c r="P379" i="21" s="1"/>
  <c r="K260" i="21"/>
  <c r="N159" i="21"/>
  <c r="N157" i="21" s="1"/>
  <c r="P162" i="21"/>
  <c r="L142" i="21"/>
  <c r="O142" i="21" s="1"/>
  <c r="K209" i="19"/>
  <c r="K330" i="21"/>
  <c r="K209" i="21"/>
  <c r="K169" i="21"/>
  <c r="I83" i="21"/>
  <c r="I71" i="21" s="1"/>
  <c r="K71" i="21" s="1"/>
  <c r="I280" i="21"/>
  <c r="K280" i="21" s="1"/>
  <c r="L236" i="21"/>
  <c r="I138" i="21"/>
  <c r="K138" i="21" s="1"/>
  <c r="M74" i="21"/>
  <c r="P74" i="21" s="1"/>
  <c r="K346" i="20"/>
  <c r="O361" i="21"/>
  <c r="O338" i="21"/>
  <c r="N305" i="21"/>
  <c r="N303" i="21" s="1"/>
  <c r="M268" i="21"/>
  <c r="P268" i="21" s="1"/>
  <c r="L235" i="21"/>
  <c r="K221" i="21"/>
  <c r="P194" i="21"/>
  <c r="O162" i="21"/>
  <c r="P102" i="21"/>
  <c r="O99" i="21"/>
  <c r="O80" i="21"/>
  <c r="L74" i="21"/>
  <c r="O74" i="21" s="1"/>
  <c r="N61" i="21"/>
  <c r="N59" i="21" s="1"/>
  <c r="L62" i="21"/>
  <c r="O62" i="21" s="1"/>
  <c r="L46" i="21"/>
  <c r="L44" i="21" s="1"/>
  <c r="K344" i="20"/>
  <c r="P382" i="21"/>
  <c r="L359" i="21"/>
  <c r="O359" i="21" s="1"/>
  <c r="J343" i="21"/>
  <c r="O328" i="21"/>
  <c r="M284" i="21"/>
  <c r="P284" i="21" s="1"/>
  <c r="O274" i="21"/>
  <c r="L243" i="21"/>
  <c r="O243" i="21" s="1"/>
  <c r="L214" i="21"/>
  <c r="O214" i="21" s="1"/>
  <c r="N188" i="21"/>
  <c r="N186" i="21" s="1"/>
  <c r="L192" i="21"/>
  <c r="O192" i="21" s="1"/>
  <c r="L160" i="21"/>
  <c r="O160" i="21" s="1"/>
  <c r="O102" i="21"/>
  <c r="M97" i="21"/>
  <c r="P97" i="21" s="1"/>
  <c r="K85" i="21"/>
  <c r="N74" i="21"/>
  <c r="N72" i="21" s="1"/>
  <c r="O382" i="21"/>
  <c r="P364" i="21"/>
  <c r="P341" i="21"/>
  <c r="N322" i="21"/>
  <c r="N320" i="21" s="1"/>
  <c r="L254" i="21"/>
  <c r="O254" i="21" s="1"/>
  <c r="L189" i="21"/>
  <c r="P77" i="21"/>
  <c r="M19" i="21"/>
  <c r="P290" i="20"/>
  <c r="L222" i="20"/>
  <c r="O222" i="20" s="1"/>
  <c r="I83" i="20"/>
  <c r="I71" i="20" s="1"/>
  <c r="K71" i="20" s="1"/>
  <c r="O191" i="21"/>
  <c r="P181" i="21"/>
  <c r="L131" i="21"/>
  <c r="O131" i="21" s="1"/>
  <c r="M128" i="21"/>
  <c r="P128" i="21" s="1"/>
  <c r="P49" i="21"/>
  <c r="L288" i="21"/>
  <c r="O288" i="21" s="1"/>
  <c r="I238" i="21"/>
  <c r="K238" i="21" s="1"/>
  <c r="N127" i="21"/>
  <c r="N125" i="21" s="1"/>
  <c r="P19" i="21"/>
  <c r="J343" i="20"/>
  <c r="M309" i="20"/>
  <c r="P309" i="20" s="1"/>
  <c r="L236" i="20"/>
  <c r="L234" i="20"/>
  <c r="P191" i="20"/>
  <c r="N379" i="21"/>
  <c r="N377" i="21" s="1"/>
  <c r="N362" i="21"/>
  <c r="O357" i="21"/>
  <c r="N335" i="21"/>
  <c r="N333" i="21" s="1"/>
  <c r="P325" i="21"/>
  <c r="M322" i="21"/>
  <c r="O308" i="21"/>
  <c r="L305" i="21"/>
  <c r="N284" i="21"/>
  <c r="N282" i="21" s="1"/>
  <c r="L233" i="21"/>
  <c r="N189" i="21"/>
  <c r="P189" i="21" s="1"/>
  <c r="O187" i="21"/>
  <c r="N175" i="21"/>
  <c r="N173" i="21" s="1"/>
  <c r="I172" i="21"/>
  <c r="K172" i="21" s="1"/>
  <c r="P165" i="21"/>
  <c r="O158" i="21"/>
  <c r="P144" i="21"/>
  <c r="M26" i="21"/>
  <c r="O19" i="21"/>
  <c r="P341" i="20"/>
  <c r="K293" i="20"/>
  <c r="K198" i="20"/>
  <c r="N159" i="20"/>
  <c r="N157" i="20" s="1"/>
  <c r="K109" i="20"/>
  <c r="K371" i="21"/>
  <c r="J332" i="21"/>
  <c r="K332" i="21" s="1"/>
  <c r="M335" i="21"/>
  <c r="O325" i="21"/>
  <c r="L322" i="21"/>
  <c r="O322" i="21" s="1"/>
  <c r="P304" i="21"/>
  <c r="O287" i="21"/>
  <c r="L284" i="21"/>
  <c r="K249" i="21"/>
  <c r="I242" i="21"/>
  <c r="I195" i="21"/>
  <c r="K195" i="21" s="1"/>
  <c r="M175" i="21"/>
  <c r="M173" i="21" s="1"/>
  <c r="O147" i="21"/>
  <c r="O144" i="21"/>
  <c r="N141" i="21"/>
  <c r="N139" i="21" s="1"/>
  <c r="I137" i="21"/>
  <c r="K137" i="21" s="1"/>
  <c r="L128" i="21"/>
  <c r="O128" i="21" s="1"/>
  <c r="I82" i="21"/>
  <c r="P80" i="21"/>
  <c r="P62" i="21"/>
  <c r="N47" i="21"/>
  <c r="O47" i="21" s="1"/>
  <c r="N46" i="21"/>
  <c r="N44" i="21" s="1"/>
  <c r="N23" i="21"/>
  <c r="L379" i="21"/>
  <c r="P361" i="21"/>
  <c r="P334" i="21"/>
  <c r="P328" i="21"/>
  <c r="O311" i="21"/>
  <c r="P283" i="21"/>
  <c r="N268" i="21"/>
  <c r="N266" i="21" s="1"/>
  <c r="I213" i="21"/>
  <c r="K213" i="21" s="1"/>
  <c r="N163" i="21"/>
  <c r="N96" i="21"/>
  <c r="N94" i="21" s="1"/>
  <c r="I92" i="21"/>
  <c r="K92" i="21" s="1"/>
  <c r="P73" i="21"/>
  <c r="M61" i="21"/>
  <c r="L26" i="21"/>
  <c r="O26" i="21" s="1"/>
  <c r="P64" i="20"/>
  <c r="N336" i="21"/>
  <c r="L234" i="21"/>
  <c r="N192" i="21"/>
  <c r="P140" i="21"/>
  <c r="L127" i="21"/>
  <c r="N78" i="21"/>
  <c r="P67" i="21"/>
  <c r="P142" i="21"/>
  <c r="N26" i="21"/>
  <c r="N24" i="21" s="1"/>
  <c r="N50" i="21"/>
  <c r="O361" i="20"/>
  <c r="K368" i="21"/>
  <c r="M358" i="21"/>
  <c r="I241" i="21"/>
  <c r="K241" i="21" s="1"/>
  <c r="L222" i="21"/>
  <c r="O222" i="21" s="1"/>
  <c r="M188" i="21"/>
  <c r="P176" i="21"/>
  <c r="M159" i="21"/>
  <c r="P159" i="21" s="1"/>
  <c r="P126" i="21"/>
  <c r="N19" i="21"/>
  <c r="P308" i="21"/>
  <c r="O178" i="21"/>
  <c r="M141" i="21"/>
  <c r="M127" i="21"/>
  <c r="P127" i="21" s="1"/>
  <c r="O49" i="21"/>
  <c r="M23" i="21"/>
  <c r="M46" i="21"/>
  <c r="L23" i="21"/>
  <c r="L21" i="21" s="1"/>
  <c r="K84" i="21"/>
  <c r="O64" i="21"/>
  <c r="M50" i="21"/>
  <c r="P50" i="21" s="1"/>
  <c r="P22" i="21"/>
  <c r="O22" i="21"/>
  <c r="O77" i="20"/>
  <c r="P181" i="20"/>
  <c r="I169" i="20"/>
  <c r="K169" i="20" s="1"/>
  <c r="P385" i="20"/>
  <c r="O382" i="20"/>
  <c r="N141" i="20"/>
  <c r="N139" i="20" s="1"/>
  <c r="O49" i="20"/>
  <c r="K365" i="20"/>
  <c r="P338" i="20"/>
  <c r="P328" i="20"/>
  <c r="O287" i="20"/>
  <c r="O75" i="20"/>
  <c r="P165" i="19"/>
  <c r="M358" i="20"/>
  <c r="M356" i="20" s="1"/>
  <c r="L233" i="20"/>
  <c r="O165" i="20"/>
  <c r="N268" i="20"/>
  <c r="N266" i="20" s="1"/>
  <c r="K229" i="20"/>
  <c r="I213" i="20"/>
  <c r="K213" i="20" s="1"/>
  <c r="O162" i="20"/>
  <c r="P102" i="20"/>
  <c r="K371" i="20"/>
  <c r="P364" i="20"/>
  <c r="L335" i="20"/>
  <c r="L333" i="20" s="1"/>
  <c r="M322" i="20"/>
  <c r="P322" i="20" s="1"/>
  <c r="L235" i="20"/>
  <c r="P99" i="20"/>
  <c r="P80" i="20"/>
  <c r="P52" i="20"/>
  <c r="P382" i="19"/>
  <c r="K330" i="20"/>
  <c r="O176" i="20"/>
  <c r="N23" i="20"/>
  <c r="K154" i="19"/>
  <c r="M359" i="20"/>
  <c r="P359" i="20" s="1"/>
  <c r="L339" i="20"/>
  <c r="O339" i="20" s="1"/>
  <c r="K314" i="20"/>
  <c r="P287" i="20"/>
  <c r="M272" i="20"/>
  <c r="P272" i="20" s="1"/>
  <c r="N269" i="20"/>
  <c r="K221" i="20"/>
  <c r="K172" i="20"/>
  <c r="O178" i="20"/>
  <c r="L159" i="20"/>
  <c r="I137" i="20"/>
  <c r="K137" i="20" s="1"/>
  <c r="M96" i="20"/>
  <c r="P96" i="20" s="1"/>
  <c r="N74" i="20"/>
  <c r="O52" i="20"/>
  <c r="L46" i="20"/>
  <c r="M269" i="20"/>
  <c r="P269" i="20" s="1"/>
  <c r="L214" i="20"/>
  <c r="O214" i="20" s="1"/>
  <c r="N188" i="20"/>
  <c r="N186" i="20" s="1"/>
  <c r="M189" i="20"/>
  <c r="P189" i="20" s="1"/>
  <c r="N175" i="20"/>
  <c r="N173" i="20" s="1"/>
  <c r="L141" i="20"/>
  <c r="O141" i="20" s="1"/>
  <c r="L127" i="20"/>
  <c r="O127" i="20" s="1"/>
  <c r="L96" i="20"/>
  <c r="O96" i="20" s="1"/>
  <c r="P75" i="20"/>
  <c r="K368" i="19"/>
  <c r="O385" i="20"/>
  <c r="L379" i="20"/>
  <c r="L377" i="20" s="1"/>
  <c r="O377" i="20" s="1"/>
  <c r="K368" i="20"/>
  <c r="O364" i="20"/>
  <c r="O338" i="20"/>
  <c r="N284" i="20"/>
  <c r="N282" i="20" s="1"/>
  <c r="N285" i="20"/>
  <c r="L203" i="20"/>
  <c r="O203" i="20" s="1"/>
  <c r="O181" i="20"/>
  <c r="P176" i="20"/>
  <c r="P162" i="20"/>
  <c r="O147" i="20"/>
  <c r="O133" i="20"/>
  <c r="O80" i="20"/>
  <c r="L74" i="20"/>
  <c r="L72" i="20" s="1"/>
  <c r="N61" i="20"/>
  <c r="N59" i="20" s="1"/>
  <c r="P49" i="20"/>
  <c r="L358" i="20"/>
  <c r="L356" i="20" s="1"/>
  <c r="J351" i="20"/>
  <c r="P336" i="20"/>
  <c r="L336" i="20"/>
  <c r="O336" i="20" s="1"/>
  <c r="N305" i="20"/>
  <c r="N303" i="20" s="1"/>
  <c r="J231" i="20"/>
  <c r="J185" i="20" s="1"/>
  <c r="L175" i="20"/>
  <c r="L100" i="20"/>
  <c r="O100" i="20" s="1"/>
  <c r="O382" i="19"/>
  <c r="P382" i="20"/>
  <c r="P308" i="20"/>
  <c r="L284" i="20"/>
  <c r="O284" i="20" s="1"/>
  <c r="P165" i="20"/>
  <c r="N160" i="20"/>
  <c r="O160" i="20" s="1"/>
  <c r="O144" i="20"/>
  <c r="O130" i="20"/>
  <c r="P77" i="20"/>
  <c r="N46" i="20"/>
  <c r="N44" i="20" s="1"/>
  <c r="N47" i="20"/>
  <c r="P47" i="20" s="1"/>
  <c r="L19" i="20"/>
  <c r="O359" i="20"/>
  <c r="O267" i="20"/>
  <c r="P140" i="20"/>
  <c r="K346" i="19"/>
  <c r="P306" i="20"/>
  <c r="I238" i="20"/>
  <c r="K238" i="20" s="1"/>
  <c r="I253" i="20"/>
  <c r="K253" i="20" s="1"/>
  <c r="K260" i="20"/>
  <c r="K242" i="20"/>
  <c r="I202" i="20"/>
  <c r="K202" i="20" s="1"/>
  <c r="K209" i="20"/>
  <c r="O194" i="20"/>
  <c r="L192" i="20"/>
  <c r="O192" i="20" s="1"/>
  <c r="M188" i="20"/>
  <c r="N142" i="20"/>
  <c r="N128" i="20"/>
  <c r="K108" i="20"/>
  <c r="I92" i="20"/>
  <c r="K92" i="20" s="1"/>
  <c r="N26" i="20"/>
  <c r="N24" i="20" s="1"/>
  <c r="O60" i="20"/>
  <c r="N379" i="20"/>
  <c r="N377" i="20" s="1"/>
  <c r="L322" i="20"/>
  <c r="O322" i="20" s="1"/>
  <c r="O325" i="20"/>
  <c r="O311" i="20"/>
  <c r="L309" i="20"/>
  <c r="O309" i="20" s="1"/>
  <c r="M305" i="20"/>
  <c r="O274" i="20"/>
  <c r="L272" i="20"/>
  <c r="O272" i="20" s="1"/>
  <c r="M268" i="20"/>
  <c r="P268" i="20" s="1"/>
  <c r="O191" i="20"/>
  <c r="L189" i="20"/>
  <c r="O189" i="20" s="1"/>
  <c r="L188" i="20"/>
  <c r="L186" i="20" s="1"/>
  <c r="K154" i="20"/>
  <c r="P144" i="20"/>
  <c r="M142" i="20"/>
  <c r="P142" i="20" s="1"/>
  <c r="P130" i="20"/>
  <c r="M128" i="20"/>
  <c r="P128" i="20" s="1"/>
  <c r="I82" i="20"/>
  <c r="M26" i="20"/>
  <c r="P26" i="20" s="1"/>
  <c r="P67" i="20"/>
  <c r="M62" i="20"/>
  <c r="P62" i="20" s="1"/>
  <c r="O19" i="20"/>
  <c r="N19" i="20"/>
  <c r="M379" i="20"/>
  <c r="P379" i="20" s="1"/>
  <c r="N358" i="20"/>
  <c r="N356" i="20" s="1"/>
  <c r="N335" i="20"/>
  <c r="O308" i="20"/>
  <c r="L306" i="20"/>
  <c r="O306" i="20" s="1"/>
  <c r="L305" i="20"/>
  <c r="O271" i="20"/>
  <c r="L269" i="20"/>
  <c r="O269" i="20" s="1"/>
  <c r="L268" i="20"/>
  <c r="O268" i="20" s="1"/>
  <c r="O67" i="20"/>
  <c r="L65" i="20"/>
  <c r="O65" i="20" s="1"/>
  <c r="M61" i="20"/>
  <c r="M19" i="20"/>
  <c r="P22" i="20"/>
  <c r="O304" i="20"/>
  <c r="P126" i="20"/>
  <c r="J332" i="20"/>
  <c r="K332" i="20" s="1"/>
  <c r="M335" i="20"/>
  <c r="L326" i="20"/>
  <c r="O326" i="20" s="1"/>
  <c r="L243" i="20"/>
  <c r="M141" i="20"/>
  <c r="P141" i="20" s="1"/>
  <c r="M127" i="20"/>
  <c r="P127" i="20" s="1"/>
  <c r="O64" i="20"/>
  <c r="L62" i="20"/>
  <c r="O62" i="20" s="1"/>
  <c r="L61" i="20"/>
  <c r="L26" i="20"/>
  <c r="O26" i="20" s="1"/>
  <c r="P334" i="20"/>
  <c r="M266" i="20"/>
  <c r="P266" i="20" s="1"/>
  <c r="L254" i="20"/>
  <c r="O254" i="20" s="1"/>
  <c r="M192" i="20"/>
  <c r="P192" i="20" s="1"/>
  <c r="O187" i="20"/>
  <c r="P147" i="20"/>
  <c r="M145" i="20"/>
  <c r="P145" i="20" s="1"/>
  <c r="P133" i="20"/>
  <c r="M131" i="20"/>
  <c r="P131" i="20" s="1"/>
  <c r="P304" i="20"/>
  <c r="P267" i="20"/>
  <c r="K249" i="20"/>
  <c r="P187" i="20"/>
  <c r="K153" i="20"/>
  <c r="O99" i="20"/>
  <c r="K85" i="20"/>
  <c r="P60" i="20"/>
  <c r="O25" i="20"/>
  <c r="M23" i="20"/>
  <c r="N322" i="20"/>
  <c r="N320" i="20" s="1"/>
  <c r="M284" i="20"/>
  <c r="M175" i="20"/>
  <c r="I168" i="20"/>
  <c r="K168" i="20" s="1"/>
  <c r="M159" i="20"/>
  <c r="N96" i="20"/>
  <c r="N94" i="20" s="1"/>
  <c r="M74" i="20"/>
  <c r="M46" i="20"/>
  <c r="L23" i="20"/>
  <c r="K292" i="20"/>
  <c r="K183" i="20"/>
  <c r="K167" i="20"/>
  <c r="K84" i="20"/>
  <c r="M358" i="19"/>
  <c r="M356" i="19" s="1"/>
  <c r="L235" i="19"/>
  <c r="P181" i="19"/>
  <c r="O181" i="19"/>
  <c r="N159" i="19"/>
  <c r="N157" i="19" s="1"/>
  <c r="L269" i="19"/>
  <c r="O269" i="19" s="1"/>
  <c r="L159" i="19"/>
  <c r="O159" i="19" s="1"/>
  <c r="M131" i="19"/>
  <c r="P131" i="19" s="1"/>
  <c r="M128" i="19"/>
  <c r="P128" i="19" s="1"/>
  <c r="M96" i="19"/>
  <c r="M94" i="19" s="1"/>
  <c r="N175" i="19"/>
  <c r="N173" i="19" s="1"/>
  <c r="L96" i="19"/>
  <c r="L94" i="19" s="1"/>
  <c r="N61" i="19"/>
  <c r="N59" i="19" s="1"/>
  <c r="M188" i="18"/>
  <c r="M186" i="18" s="1"/>
  <c r="P144" i="18"/>
  <c r="K369" i="19"/>
  <c r="O341" i="19"/>
  <c r="P311" i="19"/>
  <c r="P274" i="19"/>
  <c r="L214" i="19"/>
  <c r="O214" i="19" s="1"/>
  <c r="P102" i="19"/>
  <c r="P364" i="19"/>
  <c r="O311" i="19"/>
  <c r="L306" i="19"/>
  <c r="O306" i="19" s="1"/>
  <c r="O287" i="19"/>
  <c r="N268" i="19"/>
  <c r="N266" i="19" s="1"/>
  <c r="O102" i="19"/>
  <c r="L75" i="19"/>
  <c r="O75" i="19" s="1"/>
  <c r="L50" i="19"/>
  <c r="O50" i="19" s="1"/>
  <c r="L383" i="19"/>
  <c r="O383" i="19" s="1"/>
  <c r="O364" i="19"/>
  <c r="O361" i="19"/>
  <c r="J351" i="19"/>
  <c r="N305" i="19"/>
  <c r="N303" i="19" s="1"/>
  <c r="N284" i="19"/>
  <c r="N282" i="19" s="1"/>
  <c r="M145" i="19"/>
  <c r="P145" i="19" s="1"/>
  <c r="I137" i="19"/>
  <c r="K137" i="19" s="1"/>
  <c r="L97" i="19"/>
  <c r="O80" i="19"/>
  <c r="M326" i="19"/>
  <c r="P326" i="19" s="1"/>
  <c r="L233" i="19"/>
  <c r="N188" i="19"/>
  <c r="N186" i="19" s="1"/>
  <c r="L145" i="19"/>
  <c r="O145" i="19" s="1"/>
  <c r="K109" i="19"/>
  <c r="N96" i="19"/>
  <c r="N94" i="19" s="1"/>
  <c r="N335" i="19"/>
  <c r="N333" i="19" s="1"/>
  <c r="O311" i="18"/>
  <c r="P385" i="19"/>
  <c r="L358" i="19"/>
  <c r="L356" i="19" s="1"/>
  <c r="M335" i="19"/>
  <c r="M333" i="19" s="1"/>
  <c r="P308" i="19"/>
  <c r="I238" i="19"/>
  <c r="K238" i="19" s="1"/>
  <c r="L236" i="19"/>
  <c r="I172" i="19"/>
  <c r="K172" i="19" s="1"/>
  <c r="O165" i="19"/>
  <c r="O144" i="19"/>
  <c r="L128" i="19"/>
  <c r="O128" i="19" s="1"/>
  <c r="N74" i="19"/>
  <c r="N72" i="19" s="1"/>
  <c r="P67" i="19"/>
  <c r="L46" i="19"/>
  <c r="L44" i="19" s="1"/>
  <c r="P194" i="18"/>
  <c r="L379" i="19"/>
  <c r="O379" i="19" s="1"/>
  <c r="M322" i="19"/>
  <c r="P322" i="19" s="1"/>
  <c r="P290" i="19"/>
  <c r="L284" i="19"/>
  <c r="I280" i="19"/>
  <c r="K280" i="19" s="1"/>
  <c r="L203" i="19"/>
  <c r="O203" i="19" s="1"/>
  <c r="I195" i="19"/>
  <c r="K195" i="19" s="1"/>
  <c r="L192" i="19"/>
  <c r="O192" i="19" s="1"/>
  <c r="O178" i="19"/>
  <c r="K169" i="19"/>
  <c r="P162" i="19"/>
  <c r="M142" i="19"/>
  <c r="P142" i="19" s="1"/>
  <c r="N127" i="19"/>
  <c r="N125" i="19" s="1"/>
  <c r="O99" i="19"/>
  <c r="M97" i="19"/>
  <c r="L65" i="19"/>
  <c r="O65" i="19" s="1"/>
  <c r="N62" i="19"/>
  <c r="O62" i="19" s="1"/>
  <c r="O194" i="18"/>
  <c r="P361" i="19"/>
  <c r="J343" i="19"/>
  <c r="O290" i="19"/>
  <c r="L243" i="19"/>
  <c r="O243" i="19" s="1"/>
  <c r="I242" i="19"/>
  <c r="K242" i="19" s="1"/>
  <c r="P191" i="19"/>
  <c r="O162" i="19"/>
  <c r="N141" i="19"/>
  <c r="N139" i="19" s="1"/>
  <c r="I92" i="19"/>
  <c r="K92" i="19" s="1"/>
  <c r="M19" i="19"/>
  <c r="P19" i="19" s="1"/>
  <c r="K365" i="19"/>
  <c r="M359" i="19"/>
  <c r="P359" i="19" s="1"/>
  <c r="M305" i="19"/>
  <c r="P305" i="19" s="1"/>
  <c r="L272" i="19"/>
  <c r="O272" i="19" s="1"/>
  <c r="L175" i="19"/>
  <c r="L173" i="19" s="1"/>
  <c r="L160" i="19"/>
  <c r="O160" i="19" s="1"/>
  <c r="I83" i="19"/>
  <c r="M26" i="19"/>
  <c r="M24" i="19" s="1"/>
  <c r="P24" i="19" s="1"/>
  <c r="P49" i="19"/>
  <c r="K368" i="18"/>
  <c r="K371" i="19"/>
  <c r="N336" i="19"/>
  <c r="O336" i="19" s="1"/>
  <c r="K330" i="19"/>
  <c r="L305" i="19"/>
  <c r="O305" i="19" s="1"/>
  <c r="K229" i="19"/>
  <c r="L222" i="19"/>
  <c r="O222" i="19" s="1"/>
  <c r="M159" i="19"/>
  <c r="P159" i="19" s="1"/>
  <c r="K153" i="19"/>
  <c r="L74" i="19"/>
  <c r="O74" i="19" s="1"/>
  <c r="O64" i="19"/>
  <c r="O47" i="19"/>
  <c r="O359" i="19"/>
  <c r="P73" i="19"/>
  <c r="N285" i="19"/>
  <c r="N189" i="19"/>
  <c r="O189" i="19" s="1"/>
  <c r="L141" i="19"/>
  <c r="N78" i="19"/>
  <c r="O19" i="19"/>
  <c r="N175" i="18"/>
  <c r="N173" i="18" s="1"/>
  <c r="N379" i="19"/>
  <c r="N377" i="19" s="1"/>
  <c r="M339" i="19"/>
  <c r="P339" i="19" s="1"/>
  <c r="J332" i="19"/>
  <c r="L326" i="19"/>
  <c r="O326" i="19" s="1"/>
  <c r="N322" i="19"/>
  <c r="N320" i="19" s="1"/>
  <c r="N306" i="19"/>
  <c r="N272" i="19"/>
  <c r="L254" i="19"/>
  <c r="O254" i="19" s="1"/>
  <c r="N179" i="19"/>
  <c r="N160" i="19"/>
  <c r="L127" i="19"/>
  <c r="N97" i="19"/>
  <c r="P99" i="19"/>
  <c r="M336" i="19"/>
  <c r="P364" i="18"/>
  <c r="M96" i="18"/>
  <c r="M94" i="18" s="1"/>
  <c r="P94" i="18" s="1"/>
  <c r="M379" i="19"/>
  <c r="N358" i="19"/>
  <c r="N356" i="19" s="1"/>
  <c r="I332" i="19"/>
  <c r="K344" i="19"/>
  <c r="P338" i="19"/>
  <c r="O325" i="19"/>
  <c r="L322" i="19"/>
  <c r="M268" i="19"/>
  <c r="P268" i="19" s="1"/>
  <c r="I213" i="19"/>
  <c r="K213" i="19" s="1"/>
  <c r="P194" i="19"/>
  <c r="O191" i="19"/>
  <c r="M175" i="19"/>
  <c r="P77" i="19"/>
  <c r="M74" i="19"/>
  <c r="P74" i="19" s="1"/>
  <c r="P64" i="19"/>
  <c r="O60" i="19"/>
  <c r="P47" i="19"/>
  <c r="L26" i="19"/>
  <c r="O26" i="19" s="1"/>
  <c r="N26" i="19"/>
  <c r="N24" i="19" s="1"/>
  <c r="N50" i="19"/>
  <c r="O338" i="19"/>
  <c r="L335" i="19"/>
  <c r="P321" i="19"/>
  <c r="I281" i="19"/>
  <c r="K281" i="19" s="1"/>
  <c r="P271" i="19"/>
  <c r="P267" i="19"/>
  <c r="L234" i="19"/>
  <c r="P178" i="19"/>
  <c r="P174" i="19"/>
  <c r="L131" i="19"/>
  <c r="O131" i="19" s="1"/>
  <c r="P311" i="18"/>
  <c r="I302" i="19"/>
  <c r="K302" i="19" s="1"/>
  <c r="P287" i="19"/>
  <c r="M284" i="19"/>
  <c r="P284" i="19" s="1"/>
  <c r="O267" i="19"/>
  <c r="K260" i="19"/>
  <c r="I253" i="19"/>
  <c r="K253" i="19" s="1"/>
  <c r="M188" i="19"/>
  <c r="N176" i="19"/>
  <c r="O176" i="19" s="1"/>
  <c r="O174" i="19"/>
  <c r="I82" i="19"/>
  <c r="P80" i="19"/>
  <c r="M61" i="19"/>
  <c r="N19" i="19"/>
  <c r="P325" i="19"/>
  <c r="L268" i="19"/>
  <c r="O268" i="19" s="1"/>
  <c r="L188" i="19"/>
  <c r="M141" i="19"/>
  <c r="P141" i="19" s="1"/>
  <c r="M127" i="19"/>
  <c r="P127" i="19" s="1"/>
  <c r="L61" i="19"/>
  <c r="O49" i="19"/>
  <c r="N23" i="19"/>
  <c r="N21" i="19" s="1"/>
  <c r="N46" i="19"/>
  <c r="N44" i="19" s="1"/>
  <c r="M23" i="19"/>
  <c r="M46" i="19"/>
  <c r="M44" i="19" s="1"/>
  <c r="L23" i="19"/>
  <c r="L21" i="19" s="1"/>
  <c r="K84" i="19"/>
  <c r="M50" i="19"/>
  <c r="P50" i="19" s="1"/>
  <c r="P22" i="19"/>
  <c r="O22" i="19"/>
  <c r="J343" i="18"/>
  <c r="P147" i="18"/>
  <c r="L379" i="18"/>
  <c r="O379" i="18" s="1"/>
  <c r="K369" i="18"/>
  <c r="L268" i="18"/>
  <c r="O268" i="18" s="1"/>
  <c r="K169" i="18"/>
  <c r="O99" i="18"/>
  <c r="L163" i="17"/>
  <c r="O163" i="17" s="1"/>
  <c r="I213" i="18"/>
  <c r="K213" i="18" s="1"/>
  <c r="O67" i="18"/>
  <c r="L65" i="18"/>
  <c r="O65" i="18" s="1"/>
  <c r="M335" i="18"/>
  <c r="M333" i="18" s="1"/>
  <c r="M339" i="18"/>
  <c r="P339" i="18" s="1"/>
  <c r="P341" i="18"/>
  <c r="I92" i="18"/>
  <c r="K92" i="18" s="1"/>
  <c r="L272" i="18"/>
  <c r="O272" i="18" s="1"/>
  <c r="O274" i="18"/>
  <c r="K153" i="18"/>
  <c r="I138" i="18"/>
  <c r="K138" i="18" s="1"/>
  <c r="K346" i="18"/>
  <c r="L214" i="18"/>
  <c r="O214" i="18" s="1"/>
  <c r="N358" i="18"/>
  <c r="N356" i="18" s="1"/>
  <c r="P274" i="18"/>
  <c r="I221" i="18"/>
  <c r="K221" i="18" s="1"/>
  <c r="N322" i="18"/>
  <c r="N320" i="18" s="1"/>
  <c r="L188" i="18"/>
  <c r="L186" i="18" s="1"/>
  <c r="L305" i="18"/>
  <c r="O305" i="18" s="1"/>
  <c r="L131" i="18"/>
  <c r="O131" i="18" s="1"/>
  <c r="K109" i="18"/>
  <c r="O64" i="18"/>
  <c r="M379" i="18"/>
  <c r="M377" i="18" s="1"/>
  <c r="P377" i="18" s="1"/>
  <c r="N335" i="18"/>
  <c r="N333" i="18" s="1"/>
  <c r="P130" i="18"/>
  <c r="P271" i="17"/>
  <c r="P385" i="18"/>
  <c r="O382" i="18"/>
  <c r="M358" i="18"/>
  <c r="M356" i="18" s="1"/>
  <c r="N305" i="18"/>
  <c r="N303" i="18" s="1"/>
  <c r="N268" i="18"/>
  <c r="N266" i="18" s="1"/>
  <c r="L235" i="18"/>
  <c r="L243" i="18"/>
  <c r="I242" i="18"/>
  <c r="K242" i="18" s="1"/>
  <c r="I136" i="18"/>
  <c r="K136" i="18" s="1"/>
  <c r="M127" i="18"/>
  <c r="P127" i="18" s="1"/>
  <c r="I83" i="18"/>
  <c r="I71" i="18" s="1"/>
  <c r="K71" i="18" s="1"/>
  <c r="L61" i="18"/>
  <c r="L59" i="18" s="1"/>
  <c r="P47" i="18"/>
  <c r="O47" i="17"/>
  <c r="O385" i="18"/>
  <c r="N379" i="18"/>
  <c r="N377" i="18" s="1"/>
  <c r="N380" i="18"/>
  <c r="J351" i="18"/>
  <c r="P338" i="18"/>
  <c r="N336" i="18"/>
  <c r="P308" i="18"/>
  <c r="M305" i="18"/>
  <c r="P305" i="18" s="1"/>
  <c r="P271" i="18"/>
  <c r="M268" i="18"/>
  <c r="P268" i="18" s="1"/>
  <c r="L233" i="18"/>
  <c r="L222" i="18"/>
  <c r="O222" i="18" s="1"/>
  <c r="K202" i="18"/>
  <c r="P191" i="18"/>
  <c r="O178" i="18"/>
  <c r="M141" i="18"/>
  <c r="P141" i="18" s="1"/>
  <c r="L142" i="18"/>
  <c r="O142" i="18" s="1"/>
  <c r="P133" i="18"/>
  <c r="L96" i="18"/>
  <c r="O96" i="18" s="1"/>
  <c r="N96" i="18"/>
  <c r="N94" i="18" s="1"/>
  <c r="P77" i="18"/>
  <c r="O47" i="18"/>
  <c r="M380" i="18"/>
  <c r="P380" i="18" s="1"/>
  <c r="M336" i="18"/>
  <c r="K330" i="18"/>
  <c r="M322" i="18"/>
  <c r="P322" i="18" s="1"/>
  <c r="O308" i="18"/>
  <c r="I280" i="18"/>
  <c r="K280" i="18" s="1"/>
  <c r="O271" i="18"/>
  <c r="O191" i="18"/>
  <c r="L189" i="18"/>
  <c r="O189" i="18" s="1"/>
  <c r="N141" i="18"/>
  <c r="N139" i="18" s="1"/>
  <c r="O102" i="18"/>
  <c r="L380" i="18"/>
  <c r="O380" i="18" s="1"/>
  <c r="K371" i="18"/>
  <c r="L322" i="18"/>
  <c r="O322" i="18" s="1"/>
  <c r="L203" i="18"/>
  <c r="O203" i="18" s="1"/>
  <c r="P52" i="18"/>
  <c r="L19" i="18"/>
  <c r="M322" i="16"/>
  <c r="P322" i="16" s="1"/>
  <c r="L96" i="17"/>
  <c r="O96" i="17" s="1"/>
  <c r="P361" i="18"/>
  <c r="N359" i="18"/>
  <c r="P359" i="18" s="1"/>
  <c r="O338" i="18"/>
  <c r="L306" i="18"/>
  <c r="O306" i="18" s="1"/>
  <c r="L269" i="18"/>
  <c r="O269" i="18" s="1"/>
  <c r="I238" i="18"/>
  <c r="K238" i="18" s="1"/>
  <c r="L236" i="18"/>
  <c r="N188" i="18"/>
  <c r="N186" i="18" s="1"/>
  <c r="K172" i="18"/>
  <c r="N179" i="18"/>
  <c r="N61" i="18"/>
  <c r="N59" i="18" s="1"/>
  <c r="P49" i="18"/>
  <c r="M19" i="18"/>
  <c r="P176" i="18"/>
  <c r="P189" i="18"/>
  <c r="L339" i="18"/>
  <c r="O339" i="18" s="1"/>
  <c r="M288" i="18"/>
  <c r="P288" i="18" s="1"/>
  <c r="M179" i="18"/>
  <c r="P179" i="18" s="1"/>
  <c r="M163" i="18"/>
  <c r="P163" i="18" s="1"/>
  <c r="L145" i="18"/>
  <c r="O145" i="18" s="1"/>
  <c r="L141" i="18"/>
  <c r="N127" i="18"/>
  <c r="N125" i="18" s="1"/>
  <c r="L78" i="18"/>
  <c r="O78" i="18" s="1"/>
  <c r="O80" i="18"/>
  <c r="P75" i="18"/>
  <c r="P73" i="18"/>
  <c r="O62" i="18"/>
  <c r="L358" i="18"/>
  <c r="I365" i="18"/>
  <c r="K365" i="18" s="1"/>
  <c r="L336" i="18"/>
  <c r="L234" i="17"/>
  <c r="M326" i="18"/>
  <c r="P326" i="18" s="1"/>
  <c r="M323" i="18"/>
  <c r="P323" i="18" s="1"/>
  <c r="I302" i="18"/>
  <c r="K302" i="18" s="1"/>
  <c r="L288" i="18"/>
  <c r="O288" i="18" s="1"/>
  <c r="N284" i="18"/>
  <c r="N282" i="18" s="1"/>
  <c r="L254" i="18"/>
  <c r="O254" i="18" s="1"/>
  <c r="L179" i="18"/>
  <c r="O179" i="18" s="1"/>
  <c r="L163" i="18"/>
  <c r="O163" i="18" s="1"/>
  <c r="N159" i="18"/>
  <c r="N157" i="18" s="1"/>
  <c r="L127" i="18"/>
  <c r="M74" i="18"/>
  <c r="P64" i="18"/>
  <c r="M62" i="18"/>
  <c r="P62" i="18" s="1"/>
  <c r="M61" i="18"/>
  <c r="N26" i="18"/>
  <c r="N24" i="18" s="1"/>
  <c r="L335" i="18"/>
  <c r="L176" i="18"/>
  <c r="O176" i="18" s="1"/>
  <c r="P19" i="18"/>
  <c r="L362" i="18"/>
  <c r="O362" i="18" s="1"/>
  <c r="N323" i="18"/>
  <c r="O19" i="18"/>
  <c r="L358" i="16"/>
  <c r="L356" i="16" s="1"/>
  <c r="O271" i="17"/>
  <c r="P67" i="17"/>
  <c r="O361" i="18"/>
  <c r="L326" i="18"/>
  <c r="O326" i="18" s="1"/>
  <c r="L323" i="18"/>
  <c r="O323" i="18" s="1"/>
  <c r="P304" i="18"/>
  <c r="K292" i="18"/>
  <c r="P287" i="18"/>
  <c r="M284" i="18"/>
  <c r="P284" i="18" s="1"/>
  <c r="P267" i="18"/>
  <c r="P187" i="18"/>
  <c r="K183" i="18"/>
  <c r="P178" i="18"/>
  <c r="M175" i="18"/>
  <c r="P162" i="18"/>
  <c r="M159" i="18"/>
  <c r="P159" i="18" s="1"/>
  <c r="K152" i="18"/>
  <c r="P126" i="18"/>
  <c r="L75" i="18"/>
  <c r="O75" i="18" s="1"/>
  <c r="O77" i="18"/>
  <c r="N74" i="18"/>
  <c r="N72" i="18" s="1"/>
  <c r="M26" i="18"/>
  <c r="P26" i="18" s="1"/>
  <c r="L26" i="18"/>
  <c r="L285" i="18"/>
  <c r="O285" i="18" s="1"/>
  <c r="I195" i="18"/>
  <c r="K195" i="18" s="1"/>
  <c r="L50" i="17"/>
  <c r="O50" i="17" s="1"/>
  <c r="K344" i="18"/>
  <c r="O304" i="18"/>
  <c r="L284" i="18"/>
  <c r="O267" i="18"/>
  <c r="L234" i="18"/>
  <c r="K209" i="18"/>
  <c r="O187" i="18"/>
  <c r="L175" i="18"/>
  <c r="L159" i="18"/>
  <c r="M97" i="18"/>
  <c r="P97" i="18" s="1"/>
  <c r="P99" i="18"/>
  <c r="I82" i="18"/>
  <c r="P80" i="18"/>
  <c r="L74" i="18"/>
  <c r="J332" i="18"/>
  <c r="K332" i="18" s="1"/>
  <c r="L160" i="18"/>
  <c r="O160" i="18" s="1"/>
  <c r="M100" i="18"/>
  <c r="P100" i="18" s="1"/>
  <c r="P102" i="18"/>
  <c r="O60" i="18"/>
  <c r="P283" i="18"/>
  <c r="K260" i="18"/>
  <c r="I253" i="18"/>
  <c r="K253" i="18" s="1"/>
  <c r="P174" i="18"/>
  <c r="P158" i="18"/>
  <c r="L128" i="18"/>
  <c r="O128" i="18" s="1"/>
  <c r="P67" i="18"/>
  <c r="M65" i="18"/>
  <c r="P65" i="18" s="1"/>
  <c r="N19" i="18"/>
  <c r="O52" i="18"/>
  <c r="O49" i="18"/>
  <c r="P25" i="18"/>
  <c r="N23" i="18"/>
  <c r="N46" i="18"/>
  <c r="N44" i="18" s="1"/>
  <c r="M23" i="18"/>
  <c r="N50" i="18"/>
  <c r="M46" i="18"/>
  <c r="L23" i="18"/>
  <c r="L46" i="18"/>
  <c r="O22" i="18"/>
  <c r="P359" i="17"/>
  <c r="K369" i="17"/>
  <c r="N188" i="17"/>
  <c r="N186" i="17" s="1"/>
  <c r="O147" i="17"/>
  <c r="M145" i="17"/>
  <c r="P145" i="17" s="1"/>
  <c r="L131" i="17"/>
  <c r="O131" i="17" s="1"/>
  <c r="P47" i="17"/>
  <c r="P130" i="17"/>
  <c r="K346" i="17"/>
  <c r="K229" i="17"/>
  <c r="L203" i="17"/>
  <c r="O203" i="17" s="1"/>
  <c r="L61" i="17"/>
  <c r="L59" i="17" s="1"/>
  <c r="I136" i="17"/>
  <c r="K136" i="17" s="1"/>
  <c r="K369" i="16"/>
  <c r="K365" i="17"/>
  <c r="K368" i="17"/>
  <c r="N335" i="17"/>
  <c r="N333" i="17" s="1"/>
  <c r="M141" i="17"/>
  <c r="M139" i="17" s="1"/>
  <c r="I92" i="17"/>
  <c r="K92" i="17" s="1"/>
  <c r="O385" i="17"/>
  <c r="P382" i="17"/>
  <c r="P308" i="17"/>
  <c r="I281" i="17"/>
  <c r="K281" i="17" s="1"/>
  <c r="K221" i="17"/>
  <c r="M159" i="17"/>
  <c r="P159" i="17" s="1"/>
  <c r="M100" i="17"/>
  <c r="P100" i="17" s="1"/>
  <c r="O67" i="17"/>
  <c r="L62" i="17"/>
  <c r="P274" i="16"/>
  <c r="O308" i="17"/>
  <c r="I302" i="17"/>
  <c r="K302" i="17" s="1"/>
  <c r="P274" i="17"/>
  <c r="L272" i="17"/>
  <c r="O272" i="17" s="1"/>
  <c r="O194" i="17"/>
  <c r="P364" i="17"/>
  <c r="J351" i="17"/>
  <c r="M326" i="17"/>
  <c r="P326" i="17" s="1"/>
  <c r="M323" i="17"/>
  <c r="P323" i="17" s="1"/>
  <c r="M305" i="17"/>
  <c r="P305" i="17" s="1"/>
  <c r="L179" i="17"/>
  <c r="O179" i="17" s="1"/>
  <c r="O130" i="17"/>
  <c r="L128" i="17"/>
  <c r="O128" i="17" s="1"/>
  <c r="M96" i="17"/>
  <c r="P96" i="17" s="1"/>
  <c r="L159" i="17"/>
  <c r="N232" i="17"/>
  <c r="P385" i="17"/>
  <c r="M379" i="17"/>
  <c r="P379" i="17" s="1"/>
  <c r="O359" i="17"/>
  <c r="M322" i="17"/>
  <c r="N305" i="17"/>
  <c r="N303" i="17" s="1"/>
  <c r="N284" i="17"/>
  <c r="N282" i="17" s="1"/>
  <c r="L236" i="17"/>
  <c r="O176" i="17"/>
  <c r="N175" i="17"/>
  <c r="N173" i="17" s="1"/>
  <c r="K169" i="17"/>
  <c r="L160" i="17"/>
  <c r="O160" i="17" s="1"/>
  <c r="P133" i="17"/>
  <c r="M127" i="17"/>
  <c r="P127" i="17" s="1"/>
  <c r="L127" i="17"/>
  <c r="L125" i="17" s="1"/>
  <c r="O125" i="17" s="1"/>
  <c r="O99" i="17"/>
  <c r="L46" i="17"/>
  <c r="L44" i="17" s="1"/>
  <c r="O22" i="17"/>
  <c r="L46" i="16"/>
  <c r="L44" i="16" s="1"/>
  <c r="J343" i="17"/>
  <c r="I319" i="17"/>
  <c r="K319" i="17" s="1"/>
  <c r="P311" i="17"/>
  <c r="L268" i="17"/>
  <c r="I253" i="17"/>
  <c r="K253" i="17" s="1"/>
  <c r="L235" i="17"/>
  <c r="L188" i="17"/>
  <c r="L186" i="17" s="1"/>
  <c r="M175" i="17"/>
  <c r="M173" i="17" s="1"/>
  <c r="P144" i="17"/>
  <c r="M142" i="17"/>
  <c r="P142" i="17" s="1"/>
  <c r="K109" i="17"/>
  <c r="M97" i="17"/>
  <c r="P97" i="17" s="1"/>
  <c r="I238" i="17"/>
  <c r="K238" i="17" s="1"/>
  <c r="L322" i="17"/>
  <c r="O322" i="17" s="1"/>
  <c r="O311" i="17"/>
  <c r="L305" i="17"/>
  <c r="I202" i="17"/>
  <c r="K202" i="17" s="1"/>
  <c r="P194" i="17"/>
  <c r="L175" i="17"/>
  <c r="I82" i="17"/>
  <c r="K82" i="17" s="1"/>
  <c r="L78" i="17"/>
  <c r="O78" i="17" s="1"/>
  <c r="N268" i="17"/>
  <c r="N266" i="17" s="1"/>
  <c r="I172" i="17"/>
  <c r="K172" i="17" s="1"/>
  <c r="P361" i="17"/>
  <c r="P341" i="17"/>
  <c r="L254" i="17"/>
  <c r="O254" i="17" s="1"/>
  <c r="L233" i="17"/>
  <c r="L214" i="17"/>
  <c r="O214" i="17" s="1"/>
  <c r="L74" i="17"/>
  <c r="O74" i="17" s="1"/>
  <c r="O382" i="17"/>
  <c r="N358" i="17"/>
  <c r="N356" i="17" s="1"/>
  <c r="P338" i="17"/>
  <c r="N336" i="17"/>
  <c r="O336" i="17" s="1"/>
  <c r="K249" i="17"/>
  <c r="K220" i="17"/>
  <c r="K153" i="17"/>
  <c r="O142" i="17"/>
  <c r="N379" i="17"/>
  <c r="N377" i="17" s="1"/>
  <c r="O364" i="17"/>
  <c r="O361" i="17"/>
  <c r="O341" i="17"/>
  <c r="O338" i="17"/>
  <c r="L326" i="17"/>
  <c r="O326" i="17" s="1"/>
  <c r="L323" i="17"/>
  <c r="O323" i="17" s="1"/>
  <c r="N306" i="17"/>
  <c r="P304" i="17"/>
  <c r="M285" i="17"/>
  <c r="P285" i="17" s="1"/>
  <c r="L222" i="17"/>
  <c r="O222" i="17" s="1"/>
  <c r="I195" i="17"/>
  <c r="K195" i="17" s="1"/>
  <c r="M160" i="17"/>
  <c r="P160" i="17" s="1"/>
  <c r="P162" i="17"/>
  <c r="L141" i="17"/>
  <c r="I83" i="17"/>
  <c r="P19" i="17"/>
  <c r="N285" i="17"/>
  <c r="K344" i="16"/>
  <c r="K371" i="17"/>
  <c r="K344" i="17"/>
  <c r="L285" i="17"/>
  <c r="O285" i="17" s="1"/>
  <c r="K213" i="17"/>
  <c r="N159" i="17"/>
  <c r="N157" i="17" s="1"/>
  <c r="O102" i="17"/>
  <c r="L23" i="17"/>
  <c r="L21" i="17" s="1"/>
  <c r="L97" i="17"/>
  <c r="O97" i="17" s="1"/>
  <c r="N96" i="17"/>
  <c r="N94" i="17" s="1"/>
  <c r="P60" i="17"/>
  <c r="O25" i="17"/>
  <c r="K242" i="17"/>
  <c r="L379" i="17"/>
  <c r="M358" i="17"/>
  <c r="M335" i="17"/>
  <c r="O325" i="17"/>
  <c r="N322" i="17"/>
  <c r="N320" i="17" s="1"/>
  <c r="P187" i="17"/>
  <c r="M179" i="17"/>
  <c r="P179" i="17" s="1"/>
  <c r="P181" i="17"/>
  <c r="O144" i="17"/>
  <c r="L358" i="17"/>
  <c r="L335" i="17"/>
  <c r="J332" i="17"/>
  <c r="K332" i="17" s="1"/>
  <c r="M288" i="17"/>
  <c r="P288" i="17" s="1"/>
  <c r="M284" i="17"/>
  <c r="P284" i="17" s="1"/>
  <c r="I280" i="17"/>
  <c r="K280" i="17" s="1"/>
  <c r="L243" i="17"/>
  <c r="P158" i="17"/>
  <c r="O64" i="17"/>
  <c r="P64" i="17"/>
  <c r="N62" i="17"/>
  <c r="O191" i="17"/>
  <c r="N189" i="17"/>
  <c r="O189" i="17" s="1"/>
  <c r="K249" i="16"/>
  <c r="K183" i="16"/>
  <c r="L288" i="17"/>
  <c r="O288" i="17" s="1"/>
  <c r="L284" i="17"/>
  <c r="P191" i="17"/>
  <c r="M176" i="17"/>
  <c r="P176" i="17" s="1"/>
  <c r="P178" i="17"/>
  <c r="M163" i="17"/>
  <c r="P163" i="17" s="1"/>
  <c r="P165" i="17"/>
  <c r="K152" i="17"/>
  <c r="I137" i="17"/>
  <c r="K137" i="17" s="1"/>
  <c r="P95" i="17"/>
  <c r="N61" i="17"/>
  <c r="N59" i="17" s="1"/>
  <c r="N26" i="17"/>
  <c r="N24" i="17" s="1"/>
  <c r="M26" i="17"/>
  <c r="O19" i="17"/>
  <c r="M268" i="17"/>
  <c r="M188" i="17"/>
  <c r="N141" i="17"/>
  <c r="N139" i="17" s="1"/>
  <c r="N127" i="17"/>
  <c r="N125" i="17" s="1"/>
  <c r="P80" i="17"/>
  <c r="P77" i="17"/>
  <c r="O73" i="17"/>
  <c r="M61" i="17"/>
  <c r="P52" i="17"/>
  <c r="P49" i="17"/>
  <c r="O45" i="17"/>
  <c r="L26" i="17"/>
  <c r="O26" i="17" s="1"/>
  <c r="O178" i="17"/>
  <c r="O162" i="17"/>
  <c r="P99" i="17"/>
  <c r="O77" i="17"/>
  <c r="O49" i="17"/>
  <c r="P25" i="17"/>
  <c r="N23" i="17"/>
  <c r="K85" i="17"/>
  <c r="N74" i="17"/>
  <c r="N72" i="17" s="1"/>
  <c r="N46" i="17"/>
  <c r="N44" i="17" s="1"/>
  <c r="M23" i="17"/>
  <c r="M74" i="17"/>
  <c r="P74" i="17" s="1"/>
  <c r="N50" i="17"/>
  <c r="M46" i="17"/>
  <c r="M268" i="16"/>
  <c r="P268" i="16" s="1"/>
  <c r="K260" i="16"/>
  <c r="M96" i="16"/>
  <c r="P96" i="16" s="1"/>
  <c r="N284" i="16"/>
  <c r="N282" i="16" s="1"/>
  <c r="P287" i="16"/>
  <c r="L179" i="16"/>
  <c r="O179" i="16" s="1"/>
  <c r="K371" i="16"/>
  <c r="L335" i="16"/>
  <c r="L333" i="16" s="1"/>
  <c r="K330" i="16"/>
  <c r="P311" i="16"/>
  <c r="N305" i="16"/>
  <c r="N303" i="16" s="1"/>
  <c r="N175" i="16"/>
  <c r="N173" i="16" s="1"/>
  <c r="L234" i="16"/>
  <c r="L233" i="16"/>
  <c r="K220" i="16"/>
  <c r="O162" i="16"/>
  <c r="K109" i="16"/>
  <c r="I221" i="16"/>
  <c r="K221" i="16" s="1"/>
  <c r="K229" i="16"/>
  <c r="L362" i="16"/>
  <c r="O362" i="16" s="1"/>
  <c r="O364" i="16"/>
  <c r="L142" i="16"/>
  <c r="O142" i="16" s="1"/>
  <c r="L141" i="16"/>
  <c r="O141" i="16" s="1"/>
  <c r="O144" i="16"/>
  <c r="K365" i="16"/>
  <c r="J351" i="16"/>
  <c r="K346" i="16"/>
  <c r="L78" i="16"/>
  <c r="O78" i="16" s="1"/>
  <c r="O80" i="16"/>
  <c r="O102" i="15"/>
  <c r="N159" i="16"/>
  <c r="N157" i="16" s="1"/>
  <c r="N379" i="16"/>
  <c r="N377" i="16" s="1"/>
  <c r="I92" i="16"/>
  <c r="K92" i="16" s="1"/>
  <c r="K108" i="16"/>
  <c r="N97" i="16"/>
  <c r="N96" i="16"/>
  <c r="N94" i="16" s="1"/>
  <c r="O287" i="16"/>
  <c r="P67" i="16"/>
  <c r="M305" i="16"/>
  <c r="M303" i="16" s="1"/>
  <c r="L236" i="16"/>
  <c r="I138" i="16"/>
  <c r="K138" i="16" s="1"/>
  <c r="O306" i="16"/>
  <c r="L235" i="16"/>
  <c r="M175" i="16"/>
  <c r="M173" i="16" s="1"/>
  <c r="N141" i="16"/>
  <c r="N139" i="16" s="1"/>
  <c r="O341" i="16"/>
  <c r="N335" i="16"/>
  <c r="N333" i="16" s="1"/>
  <c r="I280" i="16"/>
  <c r="K280" i="16" s="1"/>
  <c r="L175" i="16"/>
  <c r="L173" i="16" s="1"/>
  <c r="M46" i="16"/>
  <c r="M44" i="16" s="1"/>
  <c r="J231" i="16"/>
  <c r="J185" i="16" s="1"/>
  <c r="P338" i="15"/>
  <c r="L234" i="15"/>
  <c r="L305" i="16"/>
  <c r="L303" i="16" s="1"/>
  <c r="L203" i="16"/>
  <c r="O203" i="16" s="1"/>
  <c r="M188" i="16"/>
  <c r="M186" i="16" s="1"/>
  <c r="N160" i="16"/>
  <c r="K249" i="15"/>
  <c r="P67" i="15"/>
  <c r="K368" i="16"/>
  <c r="I332" i="16"/>
  <c r="O311" i="16"/>
  <c r="K209" i="16"/>
  <c r="L188" i="16"/>
  <c r="L186" i="16" s="1"/>
  <c r="M159" i="16"/>
  <c r="M157" i="16" s="1"/>
  <c r="P157" i="16" s="1"/>
  <c r="P102" i="16"/>
  <c r="O77" i="16"/>
  <c r="P64" i="16"/>
  <c r="O52" i="16"/>
  <c r="O361" i="16"/>
  <c r="L359" i="16"/>
  <c r="O359" i="16" s="1"/>
  <c r="I302" i="16"/>
  <c r="K302" i="16" s="1"/>
  <c r="P271" i="16"/>
  <c r="L222" i="16"/>
  <c r="O222" i="16" s="1"/>
  <c r="L159" i="16"/>
  <c r="O159" i="16" s="1"/>
  <c r="O130" i="16"/>
  <c r="P99" i="16"/>
  <c r="O49" i="16"/>
  <c r="J351" i="15"/>
  <c r="K346" i="15"/>
  <c r="L163" i="15"/>
  <c r="O163" i="15" s="1"/>
  <c r="M335" i="16"/>
  <c r="O308" i="16"/>
  <c r="L268" i="16"/>
  <c r="L266" i="16" s="1"/>
  <c r="O266" i="16" s="1"/>
  <c r="O271" i="16"/>
  <c r="M269" i="16"/>
  <c r="P269" i="16" s="1"/>
  <c r="O178" i="16"/>
  <c r="O165" i="16"/>
  <c r="O147" i="16"/>
  <c r="N127" i="16"/>
  <c r="N125" i="16" s="1"/>
  <c r="M127" i="16"/>
  <c r="P127" i="16" s="1"/>
  <c r="O99" i="16"/>
  <c r="M61" i="16"/>
  <c r="M59" i="16" s="1"/>
  <c r="L47" i="16"/>
  <c r="O47" i="16" s="1"/>
  <c r="M19" i="16"/>
  <c r="P19" i="16" s="1"/>
  <c r="P361" i="16"/>
  <c r="J343" i="16"/>
  <c r="J332" i="16"/>
  <c r="P325" i="16"/>
  <c r="M306" i="16"/>
  <c r="P306" i="16" s="1"/>
  <c r="K281" i="16"/>
  <c r="L284" i="16"/>
  <c r="I238" i="16"/>
  <c r="K238" i="16" s="1"/>
  <c r="L214" i="16"/>
  <c r="O214" i="16" s="1"/>
  <c r="P194" i="16"/>
  <c r="M189" i="16"/>
  <c r="P189" i="16" s="1"/>
  <c r="L176" i="16"/>
  <c r="O176" i="16" s="1"/>
  <c r="N142" i="16"/>
  <c r="M97" i="16"/>
  <c r="P97" i="16" s="1"/>
  <c r="L74" i="16"/>
  <c r="O74" i="16" s="1"/>
  <c r="O62" i="16"/>
  <c r="N19" i="16"/>
  <c r="L189" i="16"/>
  <c r="O189" i="16" s="1"/>
  <c r="L131" i="16"/>
  <c r="O131" i="16" s="1"/>
  <c r="N380" i="16"/>
  <c r="M379" i="16"/>
  <c r="P379" i="16" s="1"/>
  <c r="N358" i="16"/>
  <c r="M336" i="16"/>
  <c r="M326" i="16"/>
  <c r="P326" i="16" s="1"/>
  <c r="N288" i="16"/>
  <c r="M285" i="16"/>
  <c r="P285" i="16" s="1"/>
  <c r="I231" i="16"/>
  <c r="K242" i="16"/>
  <c r="L192" i="16"/>
  <c r="O192" i="16" s="1"/>
  <c r="L127" i="16"/>
  <c r="O127" i="16" s="1"/>
  <c r="I83" i="16"/>
  <c r="M78" i="16"/>
  <c r="P78" i="16" s="1"/>
  <c r="P80" i="16"/>
  <c r="P62" i="16"/>
  <c r="M339" i="15"/>
  <c r="P339" i="15" s="1"/>
  <c r="P325" i="15"/>
  <c r="M322" i="15"/>
  <c r="P322" i="15" s="1"/>
  <c r="M383" i="16"/>
  <c r="P383" i="16" s="1"/>
  <c r="M380" i="16"/>
  <c r="P380" i="16" s="1"/>
  <c r="L379" i="16"/>
  <c r="M358" i="16"/>
  <c r="O338" i="16"/>
  <c r="L336" i="16"/>
  <c r="M288" i="16"/>
  <c r="P288" i="16" s="1"/>
  <c r="L285" i="16"/>
  <c r="O285" i="16" s="1"/>
  <c r="N268" i="16"/>
  <c r="N266" i="16" s="1"/>
  <c r="L254" i="16"/>
  <c r="O254" i="16" s="1"/>
  <c r="K198" i="16"/>
  <c r="P191" i="16"/>
  <c r="M142" i="16"/>
  <c r="P142" i="16" s="1"/>
  <c r="I136" i="16"/>
  <c r="K136" i="16" s="1"/>
  <c r="L96" i="16"/>
  <c r="N74" i="16"/>
  <c r="N72" i="16" s="1"/>
  <c r="N46" i="16"/>
  <c r="N44" i="16" s="1"/>
  <c r="O45" i="16"/>
  <c r="N336" i="16"/>
  <c r="L272" i="16"/>
  <c r="O272" i="16" s="1"/>
  <c r="O77" i="15"/>
  <c r="L383" i="16"/>
  <c r="O383" i="16" s="1"/>
  <c r="L380" i="16"/>
  <c r="O380" i="16" s="1"/>
  <c r="P378" i="16"/>
  <c r="M362" i="16"/>
  <c r="P362" i="16" s="1"/>
  <c r="M359" i="16"/>
  <c r="P359" i="16" s="1"/>
  <c r="M339" i="16"/>
  <c r="P339" i="16" s="1"/>
  <c r="P328" i="16"/>
  <c r="O325" i="16"/>
  <c r="N322" i="16"/>
  <c r="N320" i="16" s="1"/>
  <c r="K292" i="16"/>
  <c r="L288" i="16"/>
  <c r="O288" i="16" s="1"/>
  <c r="O274" i="16"/>
  <c r="O191" i="16"/>
  <c r="N188" i="16"/>
  <c r="M176" i="16"/>
  <c r="P176" i="16" s="1"/>
  <c r="P178" i="16"/>
  <c r="M128" i="16"/>
  <c r="P128" i="16" s="1"/>
  <c r="M74" i="16"/>
  <c r="P74" i="16" s="1"/>
  <c r="O64" i="16"/>
  <c r="L23" i="16"/>
  <c r="L21" i="16" s="1"/>
  <c r="M47" i="16"/>
  <c r="P47" i="16" s="1"/>
  <c r="M23" i="16"/>
  <c r="M21" i="16" s="1"/>
  <c r="P49" i="16"/>
  <c r="O25" i="16"/>
  <c r="O328" i="16"/>
  <c r="M160" i="16"/>
  <c r="P160" i="16" s="1"/>
  <c r="P162" i="16"/>
  <c r="K152" i="16"/>
  <c r="I137" i="16"/>
  <c r="K137" i="16" s="1"/>
  <c r="M145" i="16"/>
  <c r="P145" i="16" s="1"/>
  <c r="O140" i="16"/>
  <c r="O102" i="16"/>
  <c r="I82" i="16"/>
  <c r="N61" i="16"/>
  <c r="N59" i="16" s="1"/>
  <c r="N26" i="16"/>
  <c r="N24" i="16" s="1"/>
  <c r="M163" i="16"/>
  <c r="P163" i="16" s="1"/>
  <c r="P165" i="16"/>
  <c r="I156" i="16"/>
  <c r="K156" i="16" s="1"/>
  <c r="L26" i="16"/>
  <c r="O26" i="16" s="1"/>
  <c r="K293" i="14"/>
  <c r="O311" i="15"/>
  <c r="K260" i="15"/>
  <c r="P338" i="16"/>
  <c r="L322" i="16"/>
  <c r="P308" i="16"/>
  <c r="M284" i="16"/>
  <c r="L243" i="16"/>
  <c r="M179" i="16"/>
  <c r="P179" i="16" s="1"/>
  <c r="M141" i="16"/>
  <c r="M131" i="16"/>
  <c r="P131" i="16" s="1"/>
  <c r="O126" i="16"/>
  <c r="M75" i="16"/>
  <c r="P75" i="16" s="1"/>
  <c r="P77" i="16"/>
  <c r="L65" i="16"/>
  <c r="O65" i="16" s="1"/>
  <c r="L61" i="16"/>
  <c r="M50" i="16"/>
  <c r="P50" i="16" s="1"/>
  <c r="P52" i="16"/>
  <c r="N50" i="16"/>
  <c r="M26" i="16"/>
  <c r="L19" i="16"/>
  <c r="N23" i="16"/>
  <c r="P22" i="16"/>
  <c r="K292" i="15"/>
  <c r="P274" i="15"/>
  <c r="L379" i="15"/>
  <c r="O379" i="15" s="1"/>
  <c r="P385" i="15"/>
  <c r="M268" i="15"/>
  <c r="P268" i="15" s="1"/>
  <c r="K220" i="15"/>
  <c r="P194" i="15"/>
  <c r="O130" i="15"/>
  <c r="M362" i="15"/>
  <c r="P362" i="15" s="1"/>
  <c r="M379" i="15"/>
  <c r="M377" i="15" s="1"/>
  <c r="P377" i="15" s="1"/>
  <c r="P311" i="14"/>
  <c r="O130" i="14"/>
  <c r="O77" i="14"/>
  <c r="O52" i="14"/>
  <c r="K369" i="15"/>
  <c r="M358" i="15"/>
  <c r="M356" i="15" s="1"/>
  <c r="P287" i="15"/>
  <c r="K198" i="15"/>
  <c r="O181" i="15"/>
  <c r="P102" i="15"/>
  <c r="O80" i="15"/>
  <c r="O361" i="15"/>
  <c r="L236" i="15"/>
  <c r="M188" i="15"/>
  <c r="M186" i="15" s="1"/>
  <c r="P382" i="15"/>
  <c r="M380" i="15"/>
  <c r="P380" i="15" s="1"/>
  <c r="K368" i="15"/>
  <c r="L322" i="15"/>
  <c r="O322" i="15" s="1"/>
  <c r="O274" i="15"/>
  <c r="L235" i="15"/>
  <c r="K209" i="15"/>
  <c r="L175" i="15"/>
  <c r="L173" i="15" s="1"/>
  <c r="L159" i="15"/>
  <c r="L157" i="15" s="1"/>
  <c r="K109" i="15"/>
  <c r="O285" i="15"/>
  <c r="P271" i="15"/>
  <c r="M269" i="15"/>
  <c r="P269" i="15" s="1"/>
  <c r="L233" i="15"/>
  <c r="N127" i="15"/>
  <c r="N125" i="15" s="1"/>
  <c r="K108" i="15"/>
  <c r="M96" i="15"/>
  <c r="M94" i="15" s="1"/>
  <c r="P94" i="15" s="1"/>
  <c r="L74" i="15"/>
  <c r="O74" i="15" s="1"/>
  <c r="L335" i="15"/>
  <c r="L333" i="15" s="1"/>
  <c r="N322" i="15"/>
  <c r="N320" i="15" s="1"/>
  <c r="P47" i="15"/>
  <c r="N322" i="13"/>
  <c r="N320" i="13" s="1"/>
  <c r="N175" i="13"/>
  <c r="N173" i="13" s="1"/>
  <c r="L383" i="15"/>
  <c r="O383" i="15" s="1"/>
  <c r="J332" i="15"/>
  <c r="K332" i="15" s="1"/>
  <c r="N305" i="15"/>
  <c r="N303" i="15" s="1"/>
  <c r="L305" i="15"/>
  <c r="L303" i="15" s="1"/>
  <c r="K281" i="15"/>
  <c r="I238" i="15"/>
  <c r="K238" i="15" s="1"/>
  <c r="L203" i="15"/>
  <c r="O203" i="15" s="1"/>
  <c r="O162" i="15"/>
  <c r="L160" i="15"/>
  <c r="O160" i="15" s="1"/>
  <c r="K153" i="15"/>
  <c r="O147" i="15"/>
  <c r="P99" i="15"/>
  <c r="L46" i="15"/>
  <c r="L44" i="15" s="1"/>
  <c r="M305" i="15"/>
  <c r="M303" i="15" s="1"/>
  <c r="L214" i="15"/>
  <c r="O214" i="15" s="1"/>
  <c r="O178" i="15"/>
  <c r="L176" i="15"/>
  <c r="O176" i="15" s="1"/>
  <c r="N141" i="15"/>
  <c r="N139" i="15" s="1"/>
  <c r="O52" i="15"/>
  <c r="M26" i="15"/>
  <c r="M24" i="15" s="1"/>
  <c r="P24" i="15" s="1"/>
  <c r="M127" i="15"/>
  <c r="P127" i="15" s="1"/>
  <c r="O144" i="14"/>
  <c r="L141" i="14"/>
  <c r="O141" i="14" s="1"/>
  <c r="N379" i="15"/>
  <c r="N377" i="15" s="1"/>
  <c r="J343" i="15"/>
  <c r="O306" i="15"/>
  <c r="N284" i="15"/>
  <c r="N282" i="15" s="1"/>
  <c r="L192" i="15"/>
  <c r="O192" i="15" s="1"/>
  <c r="M189" i="15"/>
  <c r="P144" i="15"/>
  <c r="N61" i="15"/>
  <c r="N59" i="15" s="1"/>
  <c r="P271" i="14"/>
  <c r="L380" i="15"/>
  <c r="O380" i="15" s="1"/>
  <c r="K371" i="15"/>
  <c r="N358" i="15"/>
  <c r="N356" i="15" s="1"/>
  <c r="M359" i="15"/>
  <c r="P359" i="15" s="1"/>
  <c r="N335" i="15"/>
  <c r="N333" i="15" s="1"/>
  <c r="M336" i="15"/>
  <c r="P336" i="15" s="1"/>
  <c r="K330" i="15"/>
  <c r="K314" i="15"/>
  <c r="P285" i="15"/>
  <c r="K229" i="15"/>
  <c r="L222" i="15"/>
  <c r="O222" i="15" s="1"/>
  <c r="P176" i="15"/>
  <c r="O142" i="15"/>
  <c r="N128" i="15"/>
  <c r="M61" i="15"/>
  <c r="M59" i="15" s="1"/>
  <c r="O47" i="15"/>
  <c r="N19" i="15"/>
  <c r="L19" i="15"/>
  <c r="O19" i="15"/>
  <c r="L358" i="15"/>
  <c r="L356" i="15" s="1"/>
  <c r="I231" i="15"/>
  <c r="K242" i="15"/>
  <c r="K167" i="15"/>
  <c r="I168" i="15"/>
  <c r="K168" i="15" s="1"/>
  <c r="M142" i="15"/>
  <c r="P142" i="15" s="1"/>
  <c r="P189" i="14"/>
  <c r="I365" i="15"/>
  <c r="K365" i="15" s="1"/>
  <c r="L362" i="15"/>
  <c r="O362" i="15" s="1"/>
  <c r="L359" i="15"/>
  <c r="O359" i="15" s="1"/>
  <c r="L339" i="15"/>
  <c r="O339" i="15" s="1"/>
  <c r="L336" i="15"/>
  <c r="O336" i="15" s="1"/>
  <c r="N323" i="15"/>
  <c r="M306" i="15"/>
  <c r="P306" i="15" s="1"/>
  <c r="P191" i="15"/>
  <c r="N189" i="15"/>
  <c r="O189" i="15" s="1"/>
  <c r="O140" i="15"/>
  <c r="N26" i="15"/>
  <c r="N24" i="15" s="1"/>
  <c r="N50" i="15"/>
  <c r="N46" i="15"/>
  <c r="N44" i="15" s="1"/>
  <c r="L235" i="14"/>
  <c r="O189" i="14"/>
  <c r="O382" i="15"/>
  <c r="P361" i="15"/>
  <c r="O357" i="15"/>
  <c r="P328" i="15"/>
  <c r="M309" i="15"/>
  <c r="P309" i="15" s="1"/>
  <c r="P290" i="15"/>
  <c r="O287" i="15"/>
  <c r="M284" i="15"/>
  <c r="N159" i="15"/>
  <c r="N157" i="15" s="1"/>
  <c r="M141" i="15"/>
  <c r="M128" i="15"/>
  <c r="P128" i="15" s="1"/>
  <c r="L96" i="15"/>
  <c r="I82" i="15"/>
  <c r="O64" i="15"/>
  <c r="L23" i="15"/>
  <c r="L288" i="15"/>
  <c r="O288" i="15" s="1"/>
  <c r="N175" i="15"/>
  <c r="M19" i="15"/>
  <c r="P22" i="15"/>
  <c r="M379" i="14"/>
  <c r="P379" i="14" s="1"/>
  <c r="O341" i="14"/>
  <c r="O338" i="15"/>
  <c r="L323" i="15"/>
  <c r="O323" i="15" s="1"/>
  <c r="O321" i="15"/>
  <c r="P308" i="15"/>
  <c r="K293" i="15"/>
  <c r="L284" i="15"/>
  <c r="N268" i="15"/>
  <c r="N266" i="15" s="1"/>
  <c r="I241" i="15"/>
  <c r="K241" i="15" s="1"/>
  <c r="O191" i="15"/>
  <c r="N188" i="15"/>
  <c r="N186" i="15" s="1"/>
  <c r="I172" i="15"/>
  <c r="K172" i="15" s="1"/>
  <c r="K152" i="15"/>
  <c r="I137" i="15"/>
  <c r="K137" i="15" s="1"/>
  <c r="M145" i="15"/>
  <c r="P145" i="15" s="1"/>
  <c r="L141" i="15"/>
  <c r="O133" i="15"/>
  <c r="O126" i="15"/>
  <c r="L61" i="15"/>
  <c r="L26" i="15"/>
  <c r="O26" i="15" s="1"/>
  <c r="O49" i="15"/>
  <c r="N23" i="15"/>
  <c r="I136" i="15"/>
  <c r="K136" i="15" s="1"/>
  <c r="K154" i="15"/>
  <c r="I83" i="15"/>
  <c r="K344" i="15"/>
  <c r="O308" i="15"/>
  <c r="O271" i="15"/>
  <c r="L268" i="15"/>
  <c r="L243" i="15"/>
  <c r="L188" i="15"/>
  <c r="I169" i="15"/>
  <c r="K169" i="15" s="1"/>
  <c r="O144" i="15"/>
  <c r="O99" i="15"/>
  <c r="N74" i="15"/>
  <c r="N72" i="15" s="1"/>
  <c r="P60" i="15"/>
  <c r="M23" i="15"/>
  <c r="P64" i="15"/>
  <c r="N62" i="15"/>
  <c r="O62" i="15" s="1"/>
  <c r="P67" i="13"/>
  <c r="L335" i="14"/>
  <c r="L333" i="14" s="1"/>
  <c r="M272" i="14"/>
  <c r="P272" i="14" s="1"/>
  <c r="M335" i="15"/>
  <c r="L326" i="15"/>
  <c r="O326" i="15" s="1"/>
  <c r="L254" i="15"/>
  <c r="O254" i="15" s="1"/>
  <c r="I240" i="15"/>
  <c r="K240" i="15" s="1"/>
  <c r="I156" i="15"/>
  <c r="K156" i="15" s="1"/>
  <c r="M131" i="15"/>
  <c r="P131" i="15" s="1"/>
  <c r="L127" i="15"/>
  <c r="O127" i="15" s="1"/>
  <c r="L65" i="15"/>
  <c r="O65" i="15" s="1"/>
  <c r="P181" i="15"/>
  <c r="P178" i="15"/>
  <c r="P165" i="15"/>
  <c r="P162" i="15"/>
  <c r="P80" i="15"/>
  <c r="P77" i="15"/>
  <c r="P52" i="15"/>
  <c r="P49" i="15"/>
  <c r="M175" i="15"/>
  <c r="M159" i="15"/>
  <c r="P159" i="15" s="1"/>
  <c r="N96" i="15"/>
  <c r="N94" i="15" s="1"/>
  <c r="M74" i="15"/>
  <c r="P74" i="15" s="1"/>
  <c r="M46" i="15"/>
  <c r="K152" i="14"/>
  <c r="L383" i="14"/>
  <c r="O383" i="14" s="1"/>
  <c r="L46" i="14"/>
  <c r="L44" i="14" s="1"/>
  <c r="L234" i="13"/>
  <c r="N175" i="14"/>
  <c r="N173" i="14" s="1"/>
  <c r="M335" i="14"/>
  <c r="M333" i="14" s="1"/>
  <c r="L284" i="14"/>
  <c r="O284" i="14" s="1"/>
  <c r="K220" i="14"/>
  <c r="K209" i="14"/>
  <c r="P178" i="14"/>
  <c r="N127" i="14"/>
  <c r="N125" i="14" s="1"/>
  <c r="K108" i="14"/>
  <c r="N74" i="14"/>
  <c r="N72" i="14" s="1"/>
  <c r="L234" i="14"/>
  <c r="O176" i="14"/>
  <c r="I138" i="14"/>
  <c r="K138" i="14" s="1"/>
  <c r="M74" i="14"/>
  <c r="P74" i="14" s="1"/>
  <c r="K330" i="14"/>
  <c r="O308" i="14"/>
  <c r="O162" i="14"/>
  <c r="N141" i="14"/>
  <c r="N139" i="14" s="1"/>
  <c r="P102" i="14"/>
  <c r="L96" i="14"/>
  <c r="O96" i="14" s="1"/>
  <c r="K371" i="14"/>
  <c r="J343" i="14"/>
  <c r="L305" i="14"/>
  <c r="L303" i="14" s="1"/>
  <c r="O303" i="14" s="1"/>
  <c r="K260" i="14"/>
  <c r="L214" i="14"/>
  <c r="O214" i="14" s="1"/>
  <c r="P194" i="14"/>
  <c r="O102" i="14"/>
  <c r="P341" i="14"/>
  <c r="M305" i="14"/>
  <c r="P305" i="14" s="1"/>
  <c r="N188" i="14"/>
  <c r="N186" i="14" s="1"/>
  <c r="P130" i="14"/>
  <c r="M358" i="14"/>
  <c r="M356" i="14" s="1"/>
  <c r="J351" i="14"/>
  <c r="K346" i="14"/>
  <c r="I238" i="14"/>
  <c r="K238" i="14" s="1"/>
  <c r="K202" i="14"/>
  <c r="L175" i="14"/>
  <c r="N159" i="14"/>
  <c r="N157" i="14" s="1"/>
  <c r="M141" i="14"/>
  <c r="P141" i="14" s="1"/>
  <c r="M127" i="14"/>
  <c r="P127" i="14" s="1"/>
  <c r="I82" i="14"/>
  <c r="I70" i="14" s="1"/>
  <c r="K70" i="14" s="1"/>
  <c r="P359" i="13"/>
  <c r="O274" i="13"/>
  <c r="P271" i="13"/>
  <c r="L235" i="13"/>
  <c r="O382" i="14"/>
  <c r="K369" i="14"/>
  <c r="L358" i="14"/>
  <c r="L356" i="14" s="1"/>
  <c r="K344" i="14"/>
  <c r="O311" i="14"/>
  <c r="N305" i="14"/>
  <c r="N303" i="14" s="1"/>
  <c r="L288" i="14"/>
  <c r="O288" i="14" s="1"/>
  <c r="L236" i="14"/>
  <c r="J231" i="14"/>
  <c r="J185" i="14" s="1"/>
  <c r="K183" i="14"/>
  <c r="L159" i="14"/>
  <c r="O159" i="14" s="1"/>
  <c r="L127" i="14"/>
  <c r="O127" i="14" s="1"/>
  <c r="K109" i="14"/>
  <c r="L74" i="14"/>
  <c r="P67" i="14"/>
  <c r="P364" i="14"/>
  <c r="M268" i="14"/>
  <c r="I242" i="14"/>
  <c r="I231" i="14" s="1"/>
  <c r="L203" i="14"/>
  <c r="O203" i="14" s="1"/>
  <c r="K195" i="14"/>
  <c r="M188" i="14"/>
  <c r="L179" i="14"/>
  <c r="O179" i="14" s="1"/>
  <c r="P147" i="14"/>
  <c r="P133" i="14"/>
  <c r="O80" i="14"/>
  <c r="O49" i="14"/>
  <c r="N379" i="14"/>
  <c r="N377" i="14" s="1"/>
  <c r="K368" i="14"/>
  <c r="O364" i="14"/>
  <c r="N335" i="14"/>
  <c r="N333" i="14" s="1"/>
  <c r="P308" i="14"/>
  <c r="O178" i="14"/>
  <c r="L163" i="14"/>
  <c r="O163" i="14" s="1"/>
  <c r="O147" i="14"/>
  <c r="O133" i="14"/>
  <c r="O99" i="14"/>
  <c r="M61" i="14"/>
  <c r="M59" i="14" s="1"/>
  <c r="L47" i="14"/>
  <c r="O47" i="14" s="1"/>
  <c r="K260" i="13"/>
  <c r="L379" i="14"/>
  <c r="O379" i="14" s="1"/>
  <c r="K365" i="14"/>
  <c r="M359" i="14"/>
  <c r="J332" i="14"/>
  <c r="K332" i="14" s="1"/>
  <c r="M323" i="14"/>
  <c r="P323" i="14" s="1"/>
  <c r="K314" i="14"/>
  <c r="L254" i="14"/>
  <c r="O254" i="14" s="1"/>
  <c r="L233" i="14"/>
  <c r="K229" i="14"/>
  <c r="L222" i="14"/>
  <c r="O222" i="14" s="1"/>
  <c r="N142" i="14"/>
  <c r="M96" i="14"/>
  <c r="P96" i="14" s="1"/>
  <c r="M192" i="13"/>
  <c r="P192" i="13" s="1"/>
  <c r="P194" i="13"/>
  <c r="O64" i="14"/>
  <c r="L23" i="14"/>
  <c r="L62" i="14"/>
  <c r="O62" i="14" s="1"/>
  <c r="L61" i="14"/>
  <c r="M322" i="14"/>
  <c r="P328" i="14"/>
  <c r="M326" i="14"/>
  <c r="P326" i="14" s="1"/>
  <c r="P60" i="14"/>
  <c r="P385" i="14"/>
  <c r="M383" i="14"/>
  <c r="P383" i="14" s="1"/>
  <c r="L323" i="14"/>
  <c r="O323" i="14" s="1"/>
  <c r="L322" i="14"/>
  <c r="O325" i="14"/>
  <c r="L188" i="14"/>
  <c r="O191" i="14"/>
  <c r="N96" i="14"/>
  <c r="N94" i="14" s="1"/>
  <c r="N97" i="14"/>
  <c r="K85" i="14"/>
  <c r="I83" i="14"/>
  <c r="M47" i="14"/>
  <c r="P47" i="14" s="1"/>
  <c r="P49" i="14"/>
  <c r="M23" i="14"/>
  <c r="M46" i="14"/>
  <c r="M44" i="14" s="1"/>
  <c r="P361" i="14"/>
  <c r="N359" i="14"/>
  <c r="P174" i="14"/>
  <c r="I319" i="13"/>
  <c r="K319" i="13" s="1"/>
  <c r="K330" i="13"/>
  <c r="P378" i="14"/>
  <c r="N284" i="14"/>
  <c r="N282" i="14" s="1"/>
  <c r="N288" i="14"/>
  <c r="K221" i="14"/>
  <c r="P158" i="14"/>
  <c r="O126" i="14"/>
  <c r="L163" i="13"/>
  <c r="O163" i="13" s="1"/>
  <c r="O165" i="13"/>
  <c r="N358" i="14"/>
  <c r="N356" i="14" s="1"/>
  <c r="L268" i="14"/>
  <c r="O274" i="14"/>
  <c r="P382" i="14"/>
  <c r="M380" i="14"/>
  <c r="P380" i="14" s="1"/>
  <c r="O361" i="14"/>
  <c r="P287" i="14"/>
  <c r="M284" i="14"/>
  <c r="M285" i="14"/>
  <c r="P285" i="14" s="1"/>
  <c r="M142" i="14"/>
  <c r="P142" i="14" s="1"/>
  <c r="K292" i="13"/>
  <c r="O338" i="14"/>
  <c r="L336" i="14"/>
  <c r="O336" i="14" s="1"/>
  <c r="M288" i="14"/>
  <c r="P288" i="14" s="1"/>
  <c r="L285" i="14"/>
  <c r="O285" i="14" s="1"/>
  <c r="O271" i="14"/>
  <c r="N268" i="14"/>
  <c r="N266" i="14" s="1"/>
  <c r="K249" i="14"/>
  <c r="K198" i="14"/>
  <c r="P191" i="14"/>
  <c r="M175" i="14"/>
  <c r="M159" i="14"/>
  <c r="P159" i="14" s="1"/>
  <c r="I156" i="14"/>
  <c r="K156" i="14" s="1"/>
  <c r="M97" i="14"/>
  <c r="P97" i="14" s="1"/>
  <c r="M75" i="14"/>
  <c r="P75" i="14" s="1"/>
  <c r="P77" i="14"/>
  <c r="N75" i="14"/>
  <c r="L65" i="14"/>
  <c r="O65" i="14" s="1"/>
  <c r="M50" i="14"/>
  <c r="P50" i="14" s="1"/>
  <c r="P52" i="14"/>
  <c r="P19" i="14"/>
  <c r="M336" i="14"/>
  <c r="P336" i="14" s="1"/>
  <c r="N26" i="14"/>
  <c r="N24" i="14" s="1"/>
  <c r="N322" i="14"/>
  <c r="N320" i="14" s="1"/>
  <c r="K292" i="14"/>
  <c r="P64" i="14"/>
  <c r="L26" i="14"/>
  <c r="O26" i="14" s="1"/>
  <c r="N46" i="14"/>
  <c r="N44" i="14" s="1"/>
  <c r="N23" i="14"/>
  <c r="L192" i="14"/>
  <c r="O192" i="14" s="1"/>
  <c r="N61" i="14"/>
  <c r="O328" i="14"/>
  <c r="M176" i="14"/>
  <c r="P176" i="14" s="1"/>
  <c r="M160" i="14"/>
  <c r="P160" i="14" s="1"/>
  <c r="P144" i="14"/>
  <c r="M78" i="14"/>
  <c r="P78" i="14" s="1"/>
  <c r="P80" i="14"/>
  <c r="P62" i="14"/>
  <c r="L335" i="13"/>
  <c r="L333" i="13" s="1"/>
  <c r="P338" i="14"/>
  <c r="L243" i="14"/>
  <c r="M179" i="14"/>
  <c r="P179" i="14" s="1"/>
  <c r="M163" i="14"/>
  <c r="P163" i="14" s="1"/>
  <c r="I136" i="14"/>
  <c r="K136" i="14" s="1"/>
  <c r="M26" i="14"/>
  <c r="L19" i="14"/>
  <c r="P22" i="14"/>
  <c r="K369" i="13"/>
  <c r="M188" i="13"/>
  <c r="M186" i="13" s="1"/>
  <c r="O189" i="13"/>
  <c r="O64" i="13"/>
  <c r="K368" i="13"/>
  <c r="J351" i="13"/>
  <c r="K346" i="13"/>
  <c r="L203" i="13"/>
  <c r="O203" i="13" s="1"/>
  <c r="O80" i="13"/>
  <c r="M74" i="13"/>
  <c r="P74" i="13" s="1"/>
  <c r="K314" i="12"/>
  <c r="O311" i="13"/>
  <c r="P274" i="13"/>
  <c r="K220" i="13"/>
  <c r="L160" i="13"/>
  <c r="O160" i="13" s="1"/>
  <c r="K109" i="13"/>
  <c r="L74" i="13"/>
  <c r="L72" i="13" s="1"/>
  <c r="O72" i="13" s="1"/>
  <c r="P308" i="13"/>
  <c r="I302" i="13"/>
  <c r="K302" i="13" s="1"/>
  <c r="O361" i="13"/>
  <c r="P341" i="13"/>
  <c r="P328" i="13"/>
  <c r="N326" i="13"/>
  <c r="O385" i="13"/>
  <c r="O325" i="13"/>
  <c r="L236" i="13"/>
  <c r="I202" i="13"/>
  <c r="K202" i="13" s="1"/>
  <c r="M159" i="13"/>
  <c r="M157" i="13" s="1"/>
  <c r="P157" i="13" s="1"/>
  <c r="P102" i="13"/>
  <c r="M61" i="13"/>
  <c r="M59" i="13" s="1"/>
  <c r="L305" i="13"/>
  <c r="L303" i="13" s="1"/>
  <c r="O303" i="13" s="1"/>
  <c r="K229" i="13"/>
  <c r="O191" i="13"/>
  <c r="L179" i="13"/>
  <c r="O179" i="13" s="1"/>
  <c r="L141" i="13"/>
  <c r="M96" i="13"/>
  <c r="P96" i="13" s="1"/>
  <c r="M362" i="13"/>
  <c r="P362" i="13" s="1"/>
  <c r="N141" i="13"/>
  <c r="N139" i="13" s="1"/>
  <c r="P47" i="13"/>
  <c r="J332" i="13"/>
  <c r="P144" i="13"/>
  <c r="L46" i="13"/>
  <c r="L379" i="13"/>
  <c r="L377" i="13" s="1"/>
  <c r="O377" i="13" s="1"/>
  <c r="P336" i="13"/>
  <c r="M323" i="13"/>
  <c r="P323" i="13" s="1"/>
  <c r="M305" i="13"/>
  <c r="P305" i="13" s="1"/>
  <c r="K213" i="13"/>
  <c r="K195" i="13"/>
  <c r="M189" i="13"/>
  <c r="P189" i="13" s="1"/>
  <c r="O178" i="13"/>
  <c r="N127" i="13"/>
  <c r="N125" i="13" s="1"/>
  <c r="M127" i="13"/>
  <c r="P127" i="13" s="1"/>
  <c r="O102" i="13"/>
  <c r="I92" i="13"/>
  <c r="K92" i="13" s="1"/>
  <c r="N305" i="13"/>
  <c r="N303" i="13" s="1"/>
  <c r="O290" i="13"/>
  <c r="L254" i="13"/>
  <c r="O254" i="13" s="1"/>
  <c r="L233" i="13"/>
  <c r="L222" i="13"/>
  <c r="O222" i="13" s="1"/>
  <c r="N188" i="13"/>
  <c r="L175" i="13"/>
  <c r="P99" i="13"/>
  <c r="I83" i="13"/>
  <c r="K83" i="13" s="1"/>
  <c r="O77" i="13"/>
  <c r="L75" i="13"/>
  <c r="O75" i="13" s="1"/>
  <c r="O52" i="13"/>
  <c r="K371" i="13"/>
  <c r="P311" i="13"/>
  <c r="K293" i="13"/>
  <c r="K221" i="13"/>
  <c r="P178" i="13"/>
  <c r="O147" i="13"/>
  <c r="O99" i="13"/>
  <c r="P64" i="13"/>
  <c r="M62" i="13"/>
  <c r="P62" i="13" s="1"/>
  <c r="M19" i="13"/>
  <c r="I213" i="12"/>
  <c r="K213" i="12" s="1"/>
  <c r="M358" i="13"/>
  <c r="M356" i="13" s="1"/>
  <c r="K344" i="13"/>
  <c r="L284" i="13"/>
  <c r="O284" i="13" s="1"/>
  <c r="M268" i="13"/>
  <c r="L268" i="13"/>
  <c r="L266" i="13" s="1"/>
  <c r="O266" i="13" s="1"/>
  <c r="L214" i="13"/>
  <c r="O214" i="13" s="1"/>
  <c r="K183" i="13"/>
  <c r="O176" i="13"/>
  <c r="L159" i="13"/>
  <c r="O159" i="13" s="1"/>
  <c r="O144" i="13"/>
  <c r="N142" i="13"/>
  <c r="O142" i="13" s="1"/>
  <c r="M97" i="13"/>
  <c r="P97" i="13" s="1"/>
  <c r="N46" i="13"/>
  <c r="N44" i="13" s="1"/>
  <c r="L47" i="13"/>
  <c r="O47" i="13" s="1"/>
  <c r="N19" i="13"/>
  <c r="M163" i="13"/>
  <c r="P163" i="13" s="1"/>
  <c r="P165" i="13"/>
  <c r="P75" i="11"/>
  <c r="P176" i="12"/>
  <c r="P385" i="13"/>
  <c r="P382" i="13"/>
  <c r="I365" i="13"/>
  <c r="K365" i="13" s="1"/>
  <c r="L362" i="13"/>
  <c r="O362" i="13" s="1"/>
  <c r="L359" i="13"/>
  <c r="O359" i="13" s="1"/>
  <c r="J343" i="13"/>
  <c r="L339" i="13"/>
  <c r="O339" i="13" s="1"/>
  <c r="N335" i="13"/>
  <c r="N333" i="13" s="1"/>
  <c r="O328" i="13"/>
  <c r="M322" i="13"/>
  <c r="O287" i="13"/>
  <c r="N284" i="13"/>
  <c r="N282" i="13" s="1"/>
  <c r="O194" i="13"/>
  <c r="L188" i="13"/>
  <c r="N179" i="13"/>
  <c r="M176" i="13"/>
  <c r="P176" i="13" s="1"/>
  <c r="P174" i="13"/>
  <c r="N159" i="13"/>
  <c r="N157" i="13" s="1"/>
  <c r="O130" i="13"/>
  <c r="L127" i="13"/>
  <c r="O127" i="13" s="1"/>
  <c r="N96" i="13"/>
  <c r="N94" i="13" s="1"/>
  <c r="M78" i="13"/>
  <c r="P78" i="13" s="1"/>
  <c r="P80" i="13"/>
  <c r="N61" i="13"/>
  <c r="N59" i="13" s="1"/>
  <c r="P19" i="13"/>
  <c r="L306" i="13"/>
  <c r="O306" i="13" s="1"/>
  <c r="I156" i="13"/>
  <c r="K156" i="13" s="1"/>
  <c r="O75" i="11"/>
  <c r="K369" i="12"/>
  <c r="P341" i="12"/>
  <c r="L243" i="12"/>
  <c r="O243" i="12" s="1"/>
  <c r="O382" i="13"/>
  <c r="P361" i="13"/>
  <c r="P338" i="13"/>
  <c r="M335" i="13"/>
  <c r="L322" i="13"/>
  <c r="O322" i="13" s="1"/>
  <c r="M284" i="13"/>
  <c r="P284" i="13" s="1"/>
  <c r="L269" i="13"/>
  <c r="O269" i="13" s="1"/>
  <c r="L243" i="13"/>
  <c r="M179" i="13"/>
  <c r="P179" i="13" s="1"/>
  <c r="K153" i="13"/>
  <c r="M142" i="13"/>
  <c r="I136" i="13"/>
  <c r="K136" i="13" s="1"/>
  <c r="L96" i="13"/>
  <c r="N74" i="13"/>
  <c r="N72" i="13" s="1"/>
  <c r="L358" i="13"/>
  <c r="N379" i="13"/>
  <c r="N377" i="13" s="1"/>
  <c r="O341" i="13"/>
  <c r="I332" i="13"/>
  <c r="O321" i="13"/>
  <c r="O308" i="13"/>
  <c r="O133" i="13"/>
  <c r="M128" i="13"/>
  <c r="P128" i="13" s="1"/>
  <c r="N26" i="13"/>
  <c r="N24" i="13" s="1"/>
  <c r="O25" i="13"/>
  <c r="K368" i="12"/>
  <c r="M379" i="13"/>
  <c r="P379" i="13" s="1"/>
  <c r="N358" i="13"/>
  <c r="N356" i="13" s="1"/>
  <c r="M285" i="13"/>
  <c r="P285" i="13" s="1"/>
  <c r="P283" i="13"/>
  <c r="I242" i="13"/>
  <c r="M160" i="13"/>
  <c r="P160" i="13" s="1"/>
  <c r="P162" i="13"/>
  <c r="K152" i="13"/>
  <c r="I137" i="13"/>
  <c r="K137" i="13" s="1"/>
  <c r="M145" i="13"/>
  <c r="P145" i="13" s="1"/>
  <c r="O140" i="13"/>
  <c r="I82" i="13"/>
  <c r="P60" i="13"/>
  <c r="I238" i="13"/>
  <c r="K238" i="13" s="1"/>
  <c r="K346" i="12"/>
  <c r="O181" i="12"/>
  <c r="O338" i="13"/>
  <c r="L336" i="13"/>
  <c r="O336" i="13" s="1"/>
  <c r="M288" i="13"/>
  <c r="P288" i="13" s="1"/>
  <c r="N268" i="13"/>
  <c r="N266" i="13" s="1"/>
  <c r="K198" i="13"/>
  <c r="P191" i="13"/>
  <c r="M175" i="13"/>
  <c r="M141" i="13"/>
  <c r="M131" i="13"/>
  <c r="P131" i="13" s="1"/>
  <c r="O126" i="13"/>
  <c r="M75" i="13"/>
  <c r="P75" i="13" s="1"/>
  <c r="P77" i="13"/>
  <c r="O67" i="13"/>
  <c r="L65" i="13"/>
  <c r="O65" i="13" s="1"/>
  <c r="L26" i="13"/>
  <c r="O26" i="13" s="1"/>
  <c r="M26" i="13"/>
  <c r="L19" i="13"/>
  <c r="P52" i="13"/>
  <c r="P49" i="13"/>
  <c r="O45" i="13"/>
  <c r="L61" i="13"/>
  <c r="O49" i="13"/>
  <c r="N23" i="13"/>
  <c r="L62" i="13"/>
  <c r="O62" i="13" s="1"/>
  <c r="M23" i="13"/>
  <c r="M46" i="13"/>
  <c r="L23" i="13"/>
  <c r="P22" i="13"/>
  <c r="K198" i="12"/>
  <c r="L50" i="12"/>
  <c r="O50" i="12" s="1"/>
  <c r="K229" i="12"/>
  <c r="O147" i="12"/>
  <c r="L142" i="12"/>
  <c r="O142" i="12" s="1"/>
  <c r="I137" i="12"/>
  <c r="K137" i="12" s="1"/>
  <c r="K108" i="12"/>
  <c r="K330" i="12"/>
  <c r="L305" i="12"/>
  <c r="L303" i="12" s="1"/>
  <c r="O303" i="12" s="1"/>
  <c r="P181" i="12"/>
  <c r="L46" i="12"/>
  <c r="L44" i="12" s="1"/>
  <c r="P361" i="12"/>
  <c r="L127" i="12"/>
  <c r="L125" i="12" s="1"/>
  <c r="O125" i="12" s="1"/>
  <c r="L379" i="12"/>
  <c r="L377" i="12" s="1"/>
  <c r="O377" i="12" s="1"/>
  <c r="M362" i="12"/>
  <c r="P362" i="12" s="1"/>
  <c r="M335" i="12"/>
  <c r="M333" i="12" s="1"/>
  <c r="L233" i="12"/>
  <c r="P290" i="12"/>
  <c r="N175" i="12"/>
  <c r="N173" i="12" s="1"/>
  <c r="I172" i="12"/>
  <c r="K172" i="12" s="1"/>
  <c r="O160" i="12"/>
  <c r="O133" i="12"/>
  <c r="L383" i="12"/>
  <c r="O383" i="12" s="1"/>
  <c r="J343" i="12"/>
  <c r="O290" i="12"/>
  <c r="O130" i="12"/>
  <c r="P77" i="12"/>
  <c r="P382" i="12"/>
  <c r="P325" i="12"/>
  <c r="I281" i="12"/>
  <c r="K281" i="12" s="1"/>
  <c r="L175" i="12"/>
  <c r="O175" i="12" s="1"/>
  <c r="P162" i="12"/>
  <c r="P99" i="12"/>
  <c r="O77" i="12"/>
  <c r="P52" i="12"/>
  <c r="L379" i="11"/>
  <c r="O379" i="11" s="1"/>
  <c r="K368" i="11"/>
  <c r="L234" i="11"/>
  <c r="P336" i="12"/>
  <c r="N284" i="12"/>
  <c r="N282" i="12" s="1"/>
  <c r="I238" i="12"/>
  <c r="K238" i="12" s="1"/>
  <c r="O162" i="12"/>
  <c r="L96" i="12"/>
  <c r="O96" i="12" s="1"/>
  <c r="N335" i="12"/>
  <c r="N333" i="12" s="1"/>
  <c r="K260" i="11"/>
  <c r="L380" i="12"/>
  <c r="O380" i="12" s="1"/>
  <c r="K371" i="12"/>
  <c r="N358" i="12"/>
  <c r="N356" i="12" s="1"/>
  <c r="M359" i="12"/>
  <c r="P359" i="12" s="1"/>
  <c r="O336" i="12"/>
  <c r="P328" i="12"/>
  <c r="K293" i="12"/>
  <c r="L284" i="12"/>
  <c r="L282" i="12" s="1"/>
  <c r="N268" i="12"/>
  <c r="N266" i="12" s="1"/>
  <c r="L254" i="12"/>
  <c r="O254" i="12" s="1"/>
  <c r="L234" i="12"/>
  <c r="K221" i="12"/>
  <c r="N159" i="12"/>
  <c r="N157" i="12" s="1"/>
  <c r="L128" i="12"/>
  <c r="O128" i="12" s="1"/>
  <c r="M96" i="12"/>
  <c r="P96" i="12" s="1"/>
  <c r="I93" i="12"/>
  <c r="K93" i="12" s="1"/>
  <c r="N74" i="12"/>
  <c r="N72" i="12" s="1"/>
  <c r="P49" i="12"/>
  <c r="M379" i="12"/>
  <c r="P379" i="12" s="1"/>
  <c r="P378" i="12"/>
  <c r="L214" i="12"/>
  <c r="O214" i="12" s="1"/>
  <c r="P178" i="12"/>
  <c r="P165" i="12"/>
  <c r="P80" i="12"/>
  <c r="N61" i="12"/>
  <c r="N59" i="12" s="1"/>
  <c r="O49" i="12"/>
  <c r="P287" i="11"/>
  <c r="L358" i="12"/>
  <c r="L356" i="12" s="1"/>
  <c r="J351" i="12"/>
  <c r="P338" i="12"/>
  <c r="L323" i="12"/>
  <c r="O323" i="12" s="1"/>
  <c r="N305" i="12"/>
  <c r="N303" i="12" s="1"/>
  <c r="K280" i="12"/>
  <c r="P287" i="12"/>
  <c r="L222" i="12"/>
  <c r="O222" i="12" s="1"/>
  <c r="L203" i="12"/>
  <c r="O203" i="12" s="1"/>
  <c r="O178" i="12"/>
  <c r="O165" i="12"/>
  <c r="L159" i="12"/>
  <c r="O80" i="12"/>
  <c r="L74" i="12"/>
  <c r="O74" i="12" s="1"/>
  <c r="N46" i="12"/>
  <c r="N44" i="12" s="1"/>
  <c r="L47" i="12"/>
  <c r="O47" i="12" s="1"/>
  <c r="M19" i="12"/>
  <c r="P385" i="12"/>
  <c r="O338" i="12"/>
  <c r="M322" i="12"/>
  <c r="P322" i="12" s="1"/>
  <c r="M305" i="12"/>
  <c r="P305" i="12" s="1"/>
  <c r="O287" i="12"/>
  <c r="N285" i="12"/>
  <c r="O285" i="12" s="1"/>
  <c r="L236" i="12"/>
  <c r="L235" i="12"/>
  <c r="L176" i="12"/>
  <c r="O176" i="12" s="1"/>
  <c r="K154" i="12"/>
  <c r="L141" i="12"/>
  <c r="L139" i="12" s="1"/>
  <c r="O139" i="12" s="1"/>
  <c r="P102" i="12"/>
  <c r="I83" i="12"/>
  <c r="I71" i="12" s="1"/>
  <c r="K71" i="12" s="1"/>
  <c r="P47" i="12"/>
  <c r="O274" i="12"/>
  <c r="L272" i="12"/>
  <c r="O272" i="12" s="1"/>
  <c r="N269" i="12"/>
  <c r="N62" i="12"/>
  <c r="J351" i="11"/>
  <c r="I365" i="12"/>
  <c r="K365" i="12" s="1"/>
  <c r="L362" i="12"/>
  <c r="O362" i="12" s="1"/>
  <c r="L359" i="12"/>
  <c r="O359" i="12" s="1"/>
  <c r="P271" i="12"/>
  <c r="M269" i="12"/>
  <c r="P269" i="12" s="1"/>
  <c r="P191" i="12"/>
  <c r="M189" i="12"/>
  <c r="P189" i="12" s="1"/>
  <c r="N188" i="12"/>
  <c r="N186" i="12" s="1"/>
  <c r="P64" i="12"/>
  <c r="M62" i="12"/>
  <c r="N23" i="12"/>
  <c r="O80" i="10"/>
  <c r="O287" i="11"/>
  <c r="L46" i="11"/>
  <c r="L44" i="11" s="1"/>
  <c r="O382" i="12"/>
  <c r="O341" i="12"/>
  <c r="L335" i="12"/>
  <c r="L322" i="12"/>
  <c r="O322" i="12" s="1"/>
  <c r="M268" i="12"/>
  <c r="P268" i="12" s="1"/>
  <c r="O191" i="12"/>
  <c r="M188" i="12"/>
  <c r="M186" i="12" s="1"/>
  <c r="O64" i="12"/>
  <c r="M61" i="12"/>
  <c r="L26" i="12"/>
  <c r="O26" i="12" s="1"/>
  <c r="O364" i="11"/>
  <c r="L179" i="11"/>
  <c r="O179" i="11" s="1"/>
  <c r="N379" i="12"/>
  <c r="N377" i="12" s="1"/>
  <c r="O361" i="12"/>
  <c r="K344" i="12"/>
  <c r="P334" i="12"/>
  <c r="M309" i="12"/>
  <c r="P309" i="12" s="1"/>
  <c r="I202" i="12"/>
  <c r="K202" i="12" s="1"/>
  <c r="K167" i="12"/>
  <c r="I168" i="12"/>
  <c r="K168" i="12" s="1"/>
  <c r="I169" i="12"/>
  <c r="K169" i="12" s="1"/>
  <c r="N127" i="12"/>
  <c r="N125" i="12" s="1"/>
  <c r="L100" i="12"/>
  <c r="O100" i="12" s="1"/>
  <c r="O308" i="12"/>
  <c r="L306" i="12"/>
  <c r="O306" i="12" s="1"/>
  <c r="P67" i="12"/>
  <c r="M65" i="12"/>
  <c r="P65" i="12" s="1"/>
  <c r="O178" i="11"/>
  <c r="L326" i="12"/>
  <c r="O326" i="12" s="1"/>
  <c r="O311" i="12"/>
  <c r="L309" i="12"/>
  <c r="O309" i="12" s="1"/>
  <c r="P304" i="12"/>
  <c r="P267" i="12"/>
  <c r="I253" i="12"/>
  <c r="P187" i="12"/>
  <c r="N141" i="12"/>
  <c r="N139" i="12" s="1"/>
  <c r="P60" i="12"/>
  <c r="O25" i="12"/>
  <c r="P19" i="12"/>
  <c r="L19" i="12"/>
  <c r="P194" i="12"/>
  <c r="M192" i="12"/>
  <c r="P192" i="12" s="1"/>
  <c r="I238" i="11"/>
  <c r="K238" i="11" s="1"/>
  <c r="M358" i="12"/>
  <c r="J332" i="12"/>
  <c r="K332" i="12" s="1"/>
  <c r="M306" i="12"/>
  <c r="P306" i="12" s="1"/>
  <c r="M272" i="12"/>
  <c r="P272" i="12" s="1"/>
  <c r="L97" i="12"/>
  <c r="O97" i="12" s="1"/>
  <c r="I82" i="12"/>
  <c r="N26" i="12"/>
  <c r="N24" i="12" s="1"/>
  <c r="N65" i="12"/>
  <c r="M26" i="12"/>
  <c r="P26" i="12" s="1"/>
  <c r="L268" i="12"/>
  <c r="L188" i="12"/>
  <c r="M141" i="12"/>
  <c r="P141" i="12" s="1"/>
  <c r="M127" i="12"/>
  <c r="L61" i="12"/>
  <c r="L269" i="12"/>
  <c r="O269" i="12" s="1"/>
  <c r="K249" i="12"/>
  <c r="L192" i="12"/>
  <c r="O192" i="12" s="1"/>
  <c r="L189" i="12"/>
  <c r="O189" i="12" s="1"/>
  <c r="K153" i="12"/>
  <c r="M145" i="12"/>
  <c r="P145" i="12" s="1"/>
  <c r="M142" i="12"/>
  <c r="P142" i="12" s="1"/>
  <c r="M131" i="12"/>
  <c r="P131" i="12" s="1"/>
  <c r="M128" i="12"/>
  <c r="P128" i="12" s="1"/>
  <c r="K85" i="12"/>
  <c r="L65" i="12"/>
  <c r="O65" i="12" s="1"/>
  <c r="L62" i="12"/>
  <c r="M23" i="12"/>
  <c r="N322" i="12"/>
  <c r="N320" i="12" s="1"/>
  <c r="M284" i="12"/>
  <c r="M175" i="12"/>
  <c r="M159" i="12"/>
  <c r="N96" i="12"/>
  <c r="N94" i="12" s="1"/>
  <c r="M74" i="12"/>
  <c r="M46" i="12"/>
  <c r="L23" i="12"/>
  <c r="P22" i="12"/>
  <c r="N322" i="11"/>
  <c r="N320" i="11" s="1"/>
  <c r="I202" i="11"/>
  <c r="K202" i="11" s="1"/>
  <c r="L192" i="9"/>
  <c r="O192" i="9" s="1"/>
  <c r="O271" i="11"/>
  <c r="K249" i="11"/>
  <c r="P364" i="11"/>
  <c r="M141" i="11"/>
  <c r="N188" i="11"/>
  <c r="N186" i="11" s="1"/>
  <c r="L235" i="10"/>
  <c r="K369" i="11"/>
  <c r="P191" i="11"/>
  <c r="P102" i="11"/>
  <c r="P64" i="11"/>
  <c r="P47" i="11"/>
  <c r="K292" i="11"/>
  <c r="L163" i="11"/>
  <c r="O163" i="11" s="1"/>
  <c r="O147" i="11"/>
  <c r="N141" i="11"/>
  <c r="N139" i="11" s="1"/>
  <c r="M96" i="11"/>
  <c r="P96" i="11" s="1"/>
  <c r="O64" i="11"/>
  <c r="M358" i="11"/>
  <c r="M356" i="11" s="1"/>
  <c r="O162" i="11"/>
  <c r="L78" i="11"/>
  <c r="O78" i="11" s="1"/>
  <c r="N335" i="11"/>
  <c r="N333" i="11" s="1"/>
  <c r="O308" i="11"/>
  <c r="M306" i="11"/>
  <c r="P306" i="11" s="1"/>
  <c r="M288" i="11"/>
  <c r="P288" i="11" s="1"/>
  <c r="K330" i="11"/>
  <c r="N323" i="11"/>
  <c r="K293" i="11"/>
  <c r="M269" i="11"/>
  <c r="P269" i="11" s="1"/>
  <c r="M192" i="11"/>
  <c r="P192" i="11" s="1"/>
  <c r="O385" i="11"/>
  <c r="O361" i="11"/>
  <c r="M359" i="11"/>
  <c r="O341" i="11"/>
  <c r="L305" i="11"/>
  <c r="O305" i="11" s="1"/>
  <c r="L268" i="11"/>
  <c r="O268" i="11" s="1"/>
  <c r="I242" i="11"/>
  <c r="I231" i="11" s="1"/>
  <c r="K231" i="11" s="1"/>
  <c r="O191" i="11"/>
  <c r="P181" i="11"/>
  <c r="M175" i="11"/>
  <c r="M173" i="11" s="1"/>
  <c r="N175" i="11"/>
  <c r="N173" i="11" s="1"/>
  <c r="P165" i="11"/>
  <c r="M159" i="11"/>
  <c r="P159" i="11" s="1"/>
  <c r="P144" i="11"/>
  <c r="O133" i="11"/>
  <c r="P80" i="11"/>
  <c r="M74" i="11"/>
  <c r="M72" i="11" s="1"/>
  <c r="M65" i="11"/>
  <c r="P65" i="11" s="1"/>
  <c r="M62" i="11"/>
  <c r="P62" i="11" s="1"/>
  <c r="O52" i="11"/>
  <c r="L236" i="11"/>
  <c r="P271" i="10"/>
  <c r="K371" i="11"/>
  <c r="P361" i="11"/>
  <c r="K346" i="11"/>
  <c r="O338" i="11"/>
  <c r="P325" i="11"/>
  <c r="M284" i="11"/>
  <c r="P284" i="11" s="1"/>
  <c r="L284" i="11"/>
  <c r="O284" i="11" s="1"/>
  <c r="K221" i="11"/>
  <c r="L175" i="11"/>
  <c r="L173" i="11" s="1"/>
  <c r="L159" i="11"/>
  <c r="O159" i="11" s="1"/>
  <c r="N159" i="11"/>
  <c r="N157" i="11" s="1"/>
  <c r="N127" i="11"/>
  <c r="N125" i="11" s="1"/>
  <c r="P99" i="11"/>
  <c r="L74" i="11"/>
  <c r="L72" i="11" s="1"/>
  <c r="N61" i="11"/>
  <c r="N59" i="11" s="1"/>
  <c r="M50" i="11"/>
  <c r="P50" i="11" s="1"/>
  <c r="J231" i="11"/>
  <c r="J185" i="11" s="1"/>
  <c r="O382" i="11"/>
  <c r="O325" i="11"/>
  <c r="O290" i="11"/>
  <c r="P283" i="11"/>
  <c r="L254" i="11"/>
  <c r="O254" i="11" s="1"/>
  <c r="L243" i="11"/>
  <c r="O243" i="11" s="1"/>
  <c r="L203" i="11"/>
  <c r="O203" i="11" s="1"/>
  <c r="M127" i="11"/>
  <c r="P127" i="11" s="1"/>
  <c r="K108" i="11"/>
  <c r="O99" i="11"/>
  <c r="L380" i="11"/>
  <c r="O380" i="11" s="1"/>
  <c r="K365" i="11"/>
  <c r="K344" i="11"/>
  <c r="L335" i="11"/>
  <c r="L333" i="11" s="1"/>
  <c r="M322" i="11"/>
  <c r="P322" i="11" s="1"/>
  <c r="M272" i="11"/>
  <c r="P272" i="11" s="1"/>
  <c r="L192" i="11"/>
  <c r="O192" i="11" s="1"/>
  <c r="M189" i="11"/>
  <c r="P189" i="11" s="1"/>
  <c r="N96" i="11"/>
  <c r="N94" i="11" s="1"/>
  <c r="N97" i="11"/>
  <c r="L47" i="11"/>
  <c r="O47" i="11" s="1"/>
  <c r="M19" i="11"/>
  <c r="P19" i="11" s="1"/>
  <c r="M379" i="11"/>
  <c r="P379" i="11" s="1"/>
  <c r="J343" i="11"/>
  <c r="M309" i="11"/>
  <c r="P309" i="11" s="1"/>
  <c r="N232" i="11"/>
  <c r="L222" i="11"/>
  <c r="O222" i="11" s="1"/>
  <c r="K220" i="11"/>
  <c r="L214" i="11"/>
  <c r="O214" i="11" s="1"/>
  <c r="K198" i="11"/>
  <c r="O189" i="11"/>
  <c r="K153" i="11"/>
  <c r="N142" i="11"/>
  <c r="O142" i="11" s="1"/>
  <c r="M97" i="11"/>
  <c r="P97" i="11" s="1"/>
  <c r="O77" i="11"/>
  <c r="M46" i="11"/>
  <c r="M44" i="11" s="1"/>
  <c r="L96" i="11"/>
  <c r="O96" i="11" s="1"/>
  <c r="O126" i="11"/>
  <c r="N358" i="11"/>
  <c r="L233" i="11"/>
  <c r="L285" i="10"/>
  <c r="O285" i="10" s="1"/>
  <c r="M383" i="11"/>
  <c r="P383" i="11" s="1"/>
  <c r="M380" i="11"/>
  <c r="P380" i="11" s="1"/>
  <c r="N359" i="11"/>
  <c r="O359" i="11" s="1"/>
  <c r="P338" i="11"/>
  <c r="P328" i="11"/>
  <c r="O274" i="11"/>
  <c r="K213" i="11"/>
  <c r="L188" i="11"/>
  <c r="N176" i="11"/>
  <c r="P176" i="11" s="1"/>
  <c r="P178" i="11"/>
  <c r="K152" i="11"/>
  <c r="I137" i="11"/>
  <c r="K137" i="11" s="1"/>
  <c r="M145" i="11"/>
  <c r="P145" i="11" s="1"/>
  <c r="L141" i="11"/>
  <c r="N379" i="11"/>
  <c r="N377" i="11" s="1"/>
  <c r="M335" i="11"/>
  <c r="L222" i="10"/>
  <c r="O222" i="10" s="1"/>
  <c r="K220" i="10"/>
  <c r="K209" i="10"/>
  <c r="P378" i="11"/>
  <c r="L358" i="11"/>
  <c r="N336" i="11"/>
  <c r="O336" i="11" s="1"/>
  <c r="O334" i="11"/>
  <c r="O328" i="11"/>
  <c r="O321" i="11"/>
  <c r="I302" i="11"/>
  <c r="K302" i="11" s="1"/>
  <c r="I172" i="11"/>
  <c r="K172" i="11" s="1"/>
  <c r="O144" i="11"/>
  <c r="M131" i="11"/>
  <c r="P131" i="11" s="1"/>
  <c r="L127" i="11"/>
  <c r="O127" i="11" s="1"/>
  <c r="O102" i="11"/>
  <c r="P60" i="11"/>
  <c r="L26" i="11"/>
  <c r="O26" i="11" s="1"/>
  <c r="O25" i="11"/>
  <c r="N339" i="11"/>
  <c r="P130" i="11"/>
  <c r="M23" i="11"/>
  <c r="M21" i="11" s="1"/>
  <c r="P306" i="10"/>
  <c r="L322" i="11"/>
  <c r="O322" i="11" s="1"/>
  <c r="N26" i="11"/>
  <c r="N24" i="11" s="1"/>
  <c r="L192" i="10"/>
  <c r="O192" i="10" s="1"/>
  <c r="O162" i="10"/>
  <c r="P102" i="10"/>
  <c r="P382" i="11"/>
  <c r="P357" i="11"/>
  <c r="P341" i="11"/>
  <c r="L309" i="11"/>
  <c r="O309" i="11" s="1"/>
  <c r="N305" i="11"/>
  <c r="N303" i="11" s="1"/>
  <c r="I156" i="11"/>
  <c r="K156" i="11" s="1"/>
  <c r="O130" i="11"/>
  <c r="K87" i="11"/>
  <c r="I83" i="11"/>
  <c r="J332" i="11"/>
  <c r="K332" i="11" s="1"/>
  <c r="K109" i="9"/>
  <c r="K368" i="10"/>
  <c r="K346" i="10"/>
  <c r="L175" i="10"/>
  <c r="L173" i="10" s="1"/>
  <c r="N284" i="11"/>
  <c r="N282" i="11" s="1"/>
  <c r="N268" i="11"/>
  <c r="N266" i="11" s="1"/>
  <c r="L235" i="11"/>
  <c r="K230" i="11"/>
  <c r="I136" i="11"/>
  <c r="K136" i="11" s="1"/>
  <c r="K154" i="11"/>
  <c r="M142" i="11"/>
  <c r="O140" i="11"/>
  <c r="I82" i="11"/>
  <c r="M26" i="11"/>
  <c r="P26" i="11" s="1"/>
  <c r="L19" i="11"/>
  <c r="M305" i="11"/>
  <c r="M268" i="11"/>
  <c r="M188" i="11"/>
  <c r="P162" i="11"/>
  <c r="I93" i="11"/>
  <c r="K93" i="11" s="1"/>
  <c r="P77" i="11"/>
  <c r="M61" i="11"/>
  <c r="P49" i="11"/>
  <c r="L61" i="11"/>
  <c r="O49" i="11"/>
  <c r="N23" i="11"/>
  <c r="N74" i="11"/>
  <c r="L65" i="11"/>
  <c r="O65" i="11" s="1"/>
  <c r="L62" i="11"/>
  <c r="O62" i="11" s="1"/>
  <c r="N46" i="11"/>
  <c r="K229" i="11"/>
  <c r="N50" i="11"/>
  <c r="L23" i="11"/>
  <c r="P22" i="11"/>
  <c r="K368" i="9"/>
  <c r="J343" i="10"/>
  <c r="L234" i="10"/>
  <c r="M175" i="10"/>
  <c r="M173" i="10" s="1"/>
  <c r="M362" i="10"/>
  <c r="P362" i="10" s="1"/>
  <c r="M288" i="10"/>
  <c r="P288" i="10" s="1"/>
  <c r="O271" i="10"/>
  <c r="P364" i="9"/>
  <c r="K314" i="10"/>
  <c r="L288" i="10"/>
  <c r="O288" i="10" s="1"/>
  <c r="N74" i="10"/>
  <c r="N72" i="10" s="1"/>
  <c r="O142" i="10"/>
  <c r="I92" i="10"/>
  <c r="K92" i="10" s="1"/>
  <c r="N284" i="10"/>
  <c r="N282" i="10" s="1"/>
  <c r="K260" i="10"/>
  <c r="L203" i="10"/>
  <c r="O203" i="10" s="1"/>
  <c r="O181" i="10"/>
  <c r="L74" i="10"/>
  <c r="O74" i="10" s="1"/>
  <c r="N322" i="10"/>
  <c r="N320" i="10" s="1"/>
  <c r="O178" i="10"/>
  <c r="P328" i="10"/>
  <c r="O191" i="10"/>
  <c r="O130" i="10"/>
  <c r="P382" i="10"/>
  <c r="M339" i="10"/>
  <c r="P339" i="10" s="1"/>
  <c r="K365" i="10"/>
  <c r="N358" i="10"/>
  <c r="N356" i="10" s="1"/>
  <c r="P359" i="10"/>
  <c r="N232" i="10"/>
  <c r="N127" i="10"/>
  <c r="N125" i="10" s="1"/>
  <c r="M127" i="10"/>
  <c r="P127" i="10" s="1"/>
  <c r="P47" i="10"/>
  <c r="M379" i="10"/>
  <c r="P379" i="10" s="1"/>
  <c r="M358" i="10"/>
  <c r="M356" i="10" s="1"/>
  <c r="J351" i="10"/>
  <c r="O328" i="10"/>
  <c r="M322" i="10"/>
  <c r="P322" i="10" s="1"/>
  <c r="P311" i="10"/>
  <c r="N285" i="10"/>
  <c r="L268" i="10"/>
  <c r="L266" i="10" s="1"/>
  <c r="O266" i="10" s="1"/>
  <c r="L236" i="10"/>
  <c r="I238" i="10"/>
  <c r="K238" i="10" s="1"/>
  <c r="P194" i="10"/>
  <c r="L176" i="10"/>
  <c r="O176" i="10" s="1"/>
  <c r="M159" i="10"/>
  <c r="P159" i="10" s="1"/>
  <c r="K109" i="10"/>
  <c r="M96" i="10"/>
  <c r="N96" i="10"/>
  <c r="N94" i="10" s="1"/>
  <c r="L46" i="10"/>
  <c r="L44" i="10" s="1"/>
  <c r="N335" i="10"/>
  <c r="N333" i="10" s="1"/>
  <c r="M323" i="10"/>
  <c r="P323" i="10" s="1"/>
  <c r="L379" i="10"/>
  <c r="L377" i="10" s="1"/>
  <c r="O377" i="10" s="1"/>
  <c r="O359" i="10"/>
  <c r="O338" i="10"/>
  <c r="O306" i="10"/>
  <c r="P274" i="10"/>
  <c r="M268" i="10"/>
  <c r="P268" i="10" s="1"/>
  <c r="P267" i="10"/>
  <c r="L214" i="10"/>
  <c r="O214" i="10" s="1"/>
  <c r="N175" i="10"/>
  <c r="L159" i="10"/>
  <c r="O159" i="10" s="1"/>
  <c r="N159" i="10"/>
  <c r="N157" i="10" s="1"/>
  <c r="O144" i="10"/>
  <c r="K93" i="10"/>
  <c r="L96" i="10"/>
  <c r="L94" i="10" s="1"/>
  <c r="I83" i="10"/>
  <c r="K83" i="10" s="1"/>
  <c r="O77" i="10"/>
  <c r="N75" i="10"/>
  <c r="O52" i="10"/>
  <c r="K344" i="9"/>
  <c r="P385" i="10"/>
  <c r="J332" i="10"/>
  <c r="O325" i="10"/>
  <c r="M305" i="10"/>
  <c r="M303" i="10" s="1"/>
  <c r="O274" i="10"/>
  <c r="L254" i="10"/>
  <c r="O254" i="10" s="1"/>
  <c r="K213" i="10"/>
  <c r="L188" i="10"/>
  <c r="L186" i="10" s="1"/>
  <c r="O165" i="10"/>
  <c r="P158" i="10"/>
  <c r="N141" i="10"/>
  <c r="N139" i="10" s="1"/>
  <c r="L141" i="10"/>
  <c r="L75" i="10"/>
  <c r="O75" i="10" s="1"/>
  <c r="P67" i="10"/>
  <c r="M19" i="10"/>
  <c r="P19" i="10" s="1"/>
  <c r="M61" i="10"/>
  <c r="M59" i="10" s="1"/>
  <c r="L383" i="10"/>
  <c r="O383" i="10" s="1"/>
  <c r="K369" i="10"/>
  <c r="K344" i="10"/>
  <c r="K330" i="10"/>
  <c r="L305" i="10"/>
  <c r="K292" i="10"/>
  <c r="L284" i="10"/>
  <c r="O284" i="10" s="1"/>
  <c r="L233" i="10"/>
  <c r="K229" i="10"/>
  <c r="M188" i="10"/>
  <c r="M186" i="10" s="1"/>
  <c r="I172" i="10"/>
  <c r="K172" i="10" s="1"/>
  <c r="P144" i="10"/>
  <c r="N61" i="10"/>
  <c r="N59" i="10" s="1"/>
  <c r="O49" i="10"/>
  <c r="N19" i="10"/>
  <c r="P336" i="10"/>
  <c r="L303" i="10"/>
  <c r="I156" i="10"/>
  <c r="K156" i="10" s="1"/>
  <c r="L309" i="10"/>
  <c r="O309" i="10" s="1"/>
  <c r="L127" i="10"/>
  <c r="O127" i="10" s="1"/>
  <c r="I202" i="9"/>
  <c r="K202" i="9" s="1"/>
  <c r="O382" i="10"/>
  <c r="P361" i="10"/>
  <c r="O357" i="10"/>
  <c r="P338" i="10"/>
  <c r="M335" i="10"/>
  <c r="L322" i="10"/>
  <c r="O322" i="10" s="1"/>
  <c r="P308" i="10"/>
  <c r="M284" i="10"/>
  <c r="P284" i="10" s="1"/>
  <c r="L243" i="10"/>
  <c r="P191" i="10"/>
  <c r="P187" i="10"/>
  <c r="K153" i="10"/>
  <c r="O147" i="10"/>
  <c r="M142" i="10"/>
  <c r="P142" i="10" s="1"/>
  <c r="I136" i="10"/>
  <c r="K136" i="10" s="1"/>
  <c r="L362" i="10"/>
  <c r="O362" i="10" s="1"/>
  <c r="L339" i="10"/>
  <c r="O339" i="10" s="1"/>
  <c r="P64" i="10"/>
  <c r="N62" i="10"/>
  <c r="P62" i="10" s="1"/>
  <c r="N379" i="10"/>
  <c r="N377" i="10" s="1"/>
  <c r="O361" i="10"/>
  <c r="L335" i="10"/>
  <c r="I332" i="10"/>
  <c r="O321" i="10"/>
  <c r="O308" i="10"/>
  <c r="N305" i="10"/>
  <c r="K293" i="10"/>
  <c r="P189" i="10"/>
  <c r="M176" i="10"/>
  <c r="P176" i="10" s="1"/>
  <c r="P178" i="10"/>
  <c r="O133" i="10"/>
  <c r="M128" i="10"/>
  <c r="P128" i="10" s="1"/>
  <c r="O64" i="10"/>
  <c r="N26" i="10"/>
  <c r="N24" i="10" s="1"/>
  <c r="O25" i="10"/>
  <c r="L358" i="10"/>
  <c r="N188" i="10"/>
  <c r="P47" i="9"/>
  <c r="I238" i="9"/>
  <c r="K238" i="9" s="1"/>
  <c r="K371" i="10"/>
  <c r="P334" i="10"/>
  <c r="M285" i="10"/>
  <c r="P285" i="10" s="1"/>
  <c r="P283" i="10"/>
  <c r="I242" i="10"/>
  <c r="I195" i="10"/>
  <c r="K195" i="10" s="1"/>
  <c r="L189" i="10"/>
  <c r="O189" i="10" s="1"/>
  <c r="M160" i="10"/>
  <c r="P160" i="10" s="1"/>
  <c r="P162" i="10"/>
  <c r="K152" i="10"/>
  <c r="I137" i="10"/>
  <c r="K137" i="10" s="1"/>
  <c r="M145" i="10"/>
  <c r="P145" i="10" s="1"/>
  <c r="O140" i="10"/>
  <c r="P99" i="10"/>
  <c r="O47" i="10"/>
  <c r="M163" i="10"/>
  <c r="P163" i="10" s="1"/>
  <c r="P165" i="10"/>
  <c r="O99" i="10"/>
  <c r="L97" i="10"/>
  <c r="O97" i="10" s="1"/>
  <c r="P271" i="9"/>
  <c r="M128" i="9"/>
  <c r="P128" i="9" s="1"/>
  <c r="L336" i="10"/>
  <c r="O336" i="10" s="1"/>
  <c r="N268" i="10"/>
  <c r="N266" i="10" s="1"/>
  <c r="M179" i="10"/>
  <c r="P179" i="10" s="1"/>
  <c r="P181" i="10"/>
  <c r="M141" i="10"/>
  <c r="M131" i="10"/>
  <c r="P131" i="10" s="1"/>
  <c r="O126" i="10"/>
  <c r="O102" i="10"/>
  <c r="L100" i="10"/>
  <c r="O100" i="10" s="1"/>
  <c r="P97" i="10"/>
  <c r="P95" i="10"/>
  <c r="I82" i="10"/>
  <c r="P60" i="10"/>
  <c r="L26" i="10"/>
  <c r="O26" i="10" s="1"/>
  <c r="M26" i="10"/>
  <c r="L19" i="10"/>
  <c r="P80" i="10"/>
  <c r="P77" i="10"/>
  <c r="O73" i="10"/>
  <c r="P52" i="10"/>
  <c r="P49" i="10"/>
  <c r="O45" i="10"/>
  <c r="L61" i="10"/>
  <c r="N23" i="10"/>
  <c r="K85" i="10"/>
  <c r="L65" i="10"/>
  <c r="O65" i="10" s="1"/>
  <c r="L62" i="10"/>
  <c r="N46" i="10"/>
  <c r="N44" i="10" s="1"/>
  <c r="M23" i="10"/>
  <c r="M74" i="10"/>
  <c r="M46" i="10"/>
  <c r="L23" i="10"/>
  <c r="P22" i="10"/>
  <c r="K369" i="9"/>
  <c r="K260" i="9"/>
  <c r="O133" i="9"/>
  <c r="P311" i="9"/>
  <c r="L179" i="9"/>
  <c r="O179" i="9" s="1"/>
  <c r="O311" i="9"/>
  <c r="P194" i="9"/>
  <c r="O274" i="9"/>
  <c r="P191" i="9"/>
  <c r="M96" i="9"/>
  <c r="M94" i="9" s="1"/>
  <c r="I172" i="9"/>
  <c r="K172" i="9" s="1"/>
  <c r="L78" i="8"/>
  <c r="O78" i="8" s="1"/>
  <c r="M358" i="9"/>
  <c r="M356" i="9" s="1"/>
  <c r="N284" i="9"/>
  <c r="O382" i="9"/>
  <c r="O338" i="9"/>
  <c r="P328" i="9"/>
  <c r="L326" i="9"/>
  <c r="O326" i="9" s="1"/>
  <c r="L175" i="9"/>
  <c r="L173" i="9" s="1"/>
  <c r="I156" i="9"/>
  <c r="K156" i="9" s="1"/>
  <c r="P147" i="9"/>
  <c r="L127" i="9"/>
  <c r="O127" i="9" s="1"/>
  <c r="K109" i="8"/>
  <c r="N379" i="9"/>
  <c r="N377" i="9" s="1"/>
  <c r="P338" i="9"/>
  <c r="P325" i="9"/>
  <c r="L188" i="9"/>
  <c r="L186" i="9" s="1"/>
  <c r="N159" i="9"/>
  <c r="N157" i="9" s="1"/>
  <c r="O147" i="9"/>
  <c r="N74" i="9"/>
  <c r="N72" i="9" s="1"/>
  <c r="J351" i="9"/>
  <c r="L305" i="9"/>
  <c r="P274" i="9"/>
  <c r="K220" i="9"/>
  <c r="M141" i="9"/>
  <c r="M139" i="9" s="1"/>
  <c r="M131" i="9"/>
  <c r="P131" i="9" s="1"/>
  <c r="K371" i="8"/>
  <c r="K368" i="8"/>
  <c r="K365" i="9"/>
  <c r="N322" i="9"/>
  <c r="N320" i="9" s="1"/>
  <c r="L284" i="9"/>
  <c r="O284" i="9" s="1"/>
  <c r="N175" i="9"/>
  <c r="O176" i="9"/>
  <c r="L96" i="9"/>
  <c r="L94" i="9" s="1"/>
  <c r="L46" i="9"/>
  <c r="L44" i="9" s="1"/>
  <c r="O67" i="8"/>
  <c r="O64" i="8"/>
  <c r="O364" i="9"/>
  <c r="M335" i="9"/>
  <c r="M333" i="9" s="1"/>
  <c r="I302" i="9"/>
  <c r="K302" i="9" s="1"/>
  <c r="O271" i="9"/>
  <c r="L236" i="9"/>
  <c r="L203" i="9"/>
  <c r="O203" i="9" s="1"/>
  <c r="P176" i="9"/>
  <c r="L159" i="9"/>
  <c r="O159" i="9" s="1"/>
  <c r="K138" i="9"/>
  <c r="L141" i="9"/>
  <c r="L139" i="9" s="1"/>
  <c r="L78" i="9"/>
  <c r="O78" i="9" s="1"/>
  <c r="N75" i="9"/>
  <c r="O75" i="9" s="1"/>
  <c r="L61" i="9"/>
  <c r="L59" i="9" s="1"/>
  <c r="O147" i="8"/>
  <c r="P130" i="8"/>
  <c r="L379" i="9"/>
  <c r="O379" i="9" s="1"/>
  <c r="J343" i="9"/>
  <c r="P341" i="9"/>
  <c r="P308" i="9"/>
  <c r="K292" i="9"/>
  <c r="L243" i="9"/>
  <c r="O243" i="9" s="1"/>
  <c r="I242" i="9"/>
  <c r="I231" i="9" s="1"/>
  <c r="L214" i="9"/>
  <c r="O214" i="9" s="1"/>
  <c r="K195" i="9"/>
  <c r="L189" i="9"/>
  <c r="I136" i="9"/>
  <c r="K136" i="9" s="1"/>
  <c r="O130" i="9"/>
  <c r="K108" i="9"/>
  <c r="P67" i="9"/>
  <c r="K229" i="8"/>
  <c r="P162" i="8"/>
  <c r="O385" i="9"/>
  <c r="O361" i="9"/>
  <c r="M359" i="9"/>
  <c r="O341" i="9"/>
  <c r="O308" i="9"/>
  <c r="L288" i="9"/>
  <c r="O288" i="9" s="1"/>
  <c r="N188" i="9"/>
  <c r="N186" i="9" s="1"/>
  <c r="P144" i="9"/>
  <c r="M100" i="9"/>
  <c r="P100" i="9" s="1"/>
  <c r="M97" i="9"/>
  <c r="P97" i="9" s="1"/>
  <c r="I83" i="9"/>
  <c r="K83" i="9" s="1"/>
  <c r="O67" i="9"/>
  <c r="L50" i="9"/>
  <c r="O50" i="9" s="1"/>
  <c r="L47" i="9"/>
  <c r="O47" i="9" s="1"/>
  <c r="L335" i="8"/>
  <c r="L333" i="8" s="1"/>
  <c r="K371" i="9"/>
  <c r="P361" i="9"/>
  <c r="K346" i="9"/>
  <c r="L306" i="9"/>
  <c r="O306" i="9" s="1"/>
  <c r="N282" i="9"/>
  <c r="L285" i="9"/>
  <c r="O285" i="9" s="1"/>
  <c r="L268" i="9"/>
  <c r="O268" i="9" s="1"/>
  <c r="L234" i="9"/>
  <c r="L233" i="9"/>
  <c r="L235" i="9"/>
  <c r="K229" i="9"/>
  <c r="L163" i="9"/>
  <c r="O163" i="9" s="1"/>
  <c r="N160" i="9"/>
  <c r="O144" i="9"/>
  <c r="M142" i="9"/>
  <c r="P142" i="9" s="1"/>
  <c r="M127" i="9"/>
  <c r="P127" i="9" s="1"/>
  <c r="L128" i="9"/>
  <c r="O128" i="9" s="1"/>
  <c r="L74" i="9"/>
  <c r="N380" i="9"/>
  <c r="M379" i="9"/>
  <c r="P379" i="9" s="1"/>
  <c r="N358" i="9"/>
  <c r="N335" i="9"/>
  <c r="N333" i="9" s="1"/>
  <c r="M288" i="9"/>
  <c r="P288" i="9" s="1"/>
  <c r="P290" i="9"/>
  <c r="K230" i="9"/>
  <c r="O142" i="9"/>
  <c r="P60" i="9"/>
  <c r="P19" i="9"/>
  <c r="I202" i="8"/>
  <c r="K202" i="8" s="1"/>
  <c r="O194" i="8"/>
  <c r="N188" i="8"/>
  <c r="N186" i="8" s="1"/>
  <c r="L74" i="8"/>
  <c r="L72" i="8" s="1"/>
  <c r="M383" i="9"/>
  <c r="P383" i="9" s="1"/>
  <c r="M380" i="9"/>
  <c r="P380" i="9" s="1"/>
  <c r="N359" i="9"/>
  <c r="N336" i="9"/>
  <c r="P336" i="9" s="1"/>
  <c r="O325" i="9"/>
  <c r="M322" i="9"/>
  <c r="P322" i="9" s="1"/>
  <c r="L254" i="9"/>
  <c r="O254" i="9" s="1"/>
  <c r="K249" i="9"/>
  <c r="L222" i="9"/>
  <c r="O222" i="9" s="1"/>
  <c r="I82" i="9"/>
  <c r="O25" i="9"/>
  <c r="O97" i="7"/>
  <c r="P378" i="9"/>
  <c r="L358" i="9"/>
  <c r="L335" i="9"/>
  <c r="J332" i="9"/>
  <c r="K332" i="9" s="1"/>
  <c r="L322" i="9"/>
  <c r="O322" i="9" s="1"/>
  <c r="M285" i="9"/>
  <c r="P285" i="9" s="1"/>
  <c r="P287" i="9"/>
  <c r="I280" i="9"/>
  <c r="K280" i="9" s="1"/>
  <c r="K152" i="9"/>
  <c r="I137" i="9"/>
  <c r="K137" i="9" s="1"/>
  <c r="O64" i="9"/>
  <c r="P64" i="9"/>
  <c r="N62" i="9"/>
  <c r="O62" i="9" s="1"/>
  <c r="N288" i="9"/>
  <c r="I319" i="8"/>
  <c r="K319" i="8" s="1"/>
  <c r="L235" i="8"/>
  <c r="N305" i="9"/>
  <c r="N303" i="9" s="1"/>
  <c r="P187" i="9"/>
  <c r="N61" i="9"/>
  <c r="N59" i="9" s="1"/>
  <c r="N26" i="9"/>
  <c r="N24" i="9" s="1"/>
  <c r="J351" i="8"/>
  <c r="P80" i="8"/>
  <c r="K330" i="9"/>
  <c r="M284" i="9"/>
  <c r="P284" i="9" s="1"/>
  <c r="N268" i="9"/>
  <c r="N266" i="9" s="1"/>
  <c r="O191" i="9"/>
  <c r="N189" i="9"/>
  <c r="P189" i="9" s="1"/>
  <c r="M179" i="9"/>
  <c r="P179" i="9" s="1"/>
  <c r="P181" i="9"/>
  <c r="O102" i="9"/>
  <c r="L100" i="9"/>
  <c r="O100" i="9" s="1"/>
  <c r="L23" i="9"/>
  <c r="L21" i="9" s="1"/>
  <c r="O99" i="9"/>
  <c r="L97" i="9"/>
  <c r="O97" i="9" s="1"/>
  <c r="M26" i="9"/>
  <c r="O19" i="9"/>
  <c r="M305" i="9"/>
  <c r="M268" i="9"/>
  <c r="P268" i="9" s="1"/>
  <c r="M188" i="9"/>
  <c r="P178" i="9"/>
  <c r="O174" i="9"/>
  <c r="P165" i="9"/>
  <c r="P162" i="9"/>
  <c r="O158" i="9"/>
  <c r="N141" i="9"/>
  <c r="N127" i="9"/>
  <c r="N125" i="9" s="1"/>
  <c r="P95" i="9"/>
  <c r="P80" i="9"/>
  <c r="P77" i="9"/>
  <c r="O73" i="9"/>
  <c r="M61" i="9"/>
  <c r="P52" i="9"/>
  <c r="P49" i="9"/>
  <c r="O45" i="9"/>
  <c r="L26" i="9"/>
  <c r="O26" i="9" s="1"/>
  <c r="O287" i="9"/>
  <c r="K198" i="9"/>
  <c r="O178" i="9"/>
  <c r="O162" i="9"/>
  <c r="P99" i="9"/>
  <c r="O77" i="9"/>
  <c r="O49" i="9"/>
  <c r="P25" i="9"/>
  <c r="N23" i="9"/>
  <c r="K153" i="9"/>
  <c r="K85" i="9"/>
  <c r="N46" i="9"/>
  <c r="N44" i="9" s="1"/>
  <c r="M23" i="9"/>
  <c r="M175" i="9"/>
  <c r="M159" i="9"/>
  <c r="P159" i="9" s="1"/>
  <c r="N96" i="9"/>
  <c r="N94" i="9" s="1"/>
  <c r="M74" i="9"/>
  <c r="M46" i="9"/>
  <c r="O133" i="8"/>
  <c r="L222" i="8"/>
  <c r="O222" i="8" s="1"/>
  <c r="N159" i="8"/>
  <c r="N157" i="8" s="1"/>
  <c r="N46" i="8"/>
  <c r="N44" i="8" s="1"/>
  <c r="P147" i="8"/>
  <c r="O308" i="8"/>
  <c r="L233" i="8"/>
  <c r="L214" i="8"/>
  <c r="O214" i="8" s="1"/>
  <c r="K108" i="8"/>
  <c r="P77" i="8"/>
  <c r="N305" i="8"/>
  <c r="N303" i="8" s="1"/>
  <c r="O271" i="8"/>
  <c r="L234" i="8"/>
  <c r="P178" i="8"/>
  <c r="I137" i="8"/>
  <c r="K137" i="8" s="1"/>
  <c r="M379" i="8"/>
  <c r="P379" i="8" s="1"/>
  <c r="K346" i="8"/>
  <c r="N306" i="8"/>
  <c r="P306" i="8" s="1"/>
  <c r="L254" i="8"/>
  <c r="O254" i="8" s="1"/>
  <c r="M179" i="8"/>
  <c r="P179" i="8" s="1"/>
  <c r="P181" i="8"/>
  <c r="N175" i="8"/>
  <c r="N173" i="8" s="1"/>
  <c r="O176" i="8"/>
  <c r="O160" i="8"/>
  <c r="M142" i="8"/>
  <c r="P142" i="8" s="1"/>
  <c r="P144" i="8"/>
  <c r="K369" i="8"/>
  <c r="N358" i="8"/>
  <c r="N356" i="8" s="1"/>
  <c r="J332" i="8"/>
  <c r="L203" i="8"/>
  <c r="O203" i="8" s="1"/>
  <c r="P176" i="8"/>
  <c r="I136" i="8"/>
  <c r="K136" i="8" s="1"/>
  <c r="K154" i="8"/>
  <c r="L141" i="8"/>
  <c r="O144" i="8"/>
  <c r="P189" i="7"/>
  <c r="I168" i="7"/>
  <c r="K168" i="7" s="1"/>
  <c r="P361" i="8"/>
  <c r="K344" i="8"/>
  <c r="N322" i="8"/>
  <c r="N320" i="8" s="1"/>
  <c r="M305" i="8"/>
  <c r="P290" i="8"/>
  <c r="L236" i="8"/>
  <c r="M192" i="8"/>
  <c r="P192" i="8" s="1"/>
  <c r="P194" i="8"/>
  <c r="L50" i="8"/>
  <c r="O50" i="8" s="1"/>
  <c r="M305" i="7"/>
  <c r="P305" i="7" s="1"/>
  <c r="O189" i="7"/>
  <c r="O361" i="8"/>
  <c r="N284" i="8"/>
  <c r="N282" i="8" s="1"/>
  <c r="L285" i="8"/>
  <c r="O285" i="8" s="1"/>
  <c r="P165" i="8"/>
  <c r="P133" i="8"/>
  <c r="L127" i="8"/>
  <c r="L125" i="8" s="1"/>
  <c r="O125" i="8" s="1"/>
  <c r="L128" i="8"/>
  <c r="O128" i="8" s="1"/>
  <c r="O130" i="8"/>
  <c r="I83" i="8"/>
  <c r="P49" i="8"/>
  <c r="N47" i="8"/>
  <c r="P47" i="8" s="1"/>
  <c r="M383" i="8"/>
  <c r="P383" i="8" s="1"/>
  <c r="M380" i="8"/>
  <c r="P380" i="8" s="1"/>
  <c r="O311" i="8"/>
  <c r="P308" i="8"/>
  <c r="O274" i="8"/>
  <c r="L243" i="8"/>
  <c r="L179" i="8"/>
  <c r="O179" i="8" s="1"/>
  <c r="L163" i="8"/>
  <c r="O163" i="8" s="1"/>
  <c r="L142" i="8"/>
  <c r="O142" i="8" s="1"/>
  <c r="N61" i="8"/>
  <c r="N59" i="8" s="1"/>
  <c r="M50" i="8"/>
  <c r="P50" i="8" s="1"/>
  <c r="P52" i="8"/>
  <c r="L175" i="8"/>
  <c r="L173" i="8" s="1"/>
  <c r="I172" i="8"/>
  <c r="K172" i="8" s="1"/>
  <c r="M100" i="8"/>
  <c r="P100" i="8" s="1"/>
  <c r="N74" i="8"/>
  <c r="N72" i="8" s="1"/>
  <c r="L75" i="8"/>
  <c r="O75" i="8" s="1"/>
  <c r="M26" i="8"/>
  <c r="P26" i="8" s="1"/>
  <c r="O191" i="8"/>
  <c r="L159" i="8"/>
  <c r="L157" i="8" s="1"/>
  <c r="P75" i="8"/>
  <c r="L46" i="8"/>
  <c r="M96" i="8"/>
  <c r="M94" i="8" s="1"/>
  <c r="L379" i="8"/>
  <c r="O379" i="8" s="1"/>
  <c r="M358" i="8"/>
  <c r="M335" i="8"/>
  <c r="M336" i="8"/>
  <c r="N326" i="8"/>
  <c r="I242" i="8"/>
  <c r="K249" i="8"/>
  <c r="L23" i="8"/>
  <c r="O99" i="8"/>
  <c r="P64" i="8"/>
  <c r="M62" i="8"/>
  <c r="O25" i="8"/>
  <c r="L383" i="8"/>
  <c r="O383" i="8" s="1"/>
  <c r="L380" i="8"/>
  <c r="O380" i="8" s="1"/>
  <c r="M362" i="8"/>
  <c r="P362" i="8" s="1"/>
  <c r="M359" i="8"/>
  <c r="P359" i="8" s="1"/>
  <c r="L358" i="8"/>
  <c r="M339" i="8"/>
  <c r="P339" i="8" s="1"/>
  <c r="L336" i="8"/>
  <c r="M326" i="8"/>
  <c r="P326" i="8" s="1"/>
  <c r="M322" i="8"/>
  <c r="P322" i="8" s="1"/>
  <c r="I238" i="8"/>
  <c r="K238" i="8" s="1"/>
  <c r="N127" i="8"/>
  <c r="N125" i="8" s="1"/>
  <c r="M61" i="8"/>
  <c r="O133" i="7"/>
  <c r="P382" i="8"/>
  <c r="O378" i="8"/>
  <c r="I365" i="8"/>
  <c r="K365" i="8" s="1"/>
  <c r="L362" i="8"/>
  <c r="O362" i="8" s="1"/>
  <c r="L359" i="8"/>
  <c r="O359" i="8" s="1"/>
  <c r="J343" i="8"/>
  <c r="L339" i="8"/>
  <c r="O339" i="8" s="1"/>
  <c r="L326" i="8"/>
  <c r="O326" i="8" s="1"/>
  <c r="L322" i="8"/>
  <c r="P311" i="8"/>
  <c r="M284" i="8"/>
  <c r="I281" i="8"/>
  <c r="K281" i="8" s="1"/>
  <c r="P271" i="8"/>
  <c r="N268" i="8"/>
  <c r="N266" i="8" s="1"/>
  <c r="M188" i="8"/>
  <c r="K167" i="8"/>
  <c r="I168" i="8"/>
  <c r="K168" i="8" s="1"/>
  <c r="I169" i="8"/>
  <c r="K169" i="8" s="1"/>
  <c r="K93" i="8"/>
  <c r="O357" i="8"/>
  <c r="P338" i="8"/>
  <c r="I332" i="8"/>
  <c r="P321" i="8"/>
  <c r="L288" i="8"/>
  <c r="O288" i="8" s="1"/>
  <c r="L284" i="8"/>
  <c r="O284" i="8" s="1"/>
  <c r="M268" i="8"/>
  <c r="P268" i="8" s="1"/>
  <c r="I253" i="8"/>
  <c r="K253" i="8" s="1"/>
  <c r="I213" i="8"/>
  <c r="K213" i="8" s="1"/>
  <c r="N141" i="8"/>
  <c r="N139" i="8" s="1"/>
  <c r="P97" i="8"/>
  <c r="I156" i="7"/>
  <c r="K156" i="7" s="1"/>
  <c r="P99" i="7"/>
  <c r="N379" i="8"/>
  <c r="N377" i="8" s="1"/>
  <c r="O338" i="8"/>
  <c r="M323" i="8"/>
  <c r="P323" i="8" s="1"/>
  <c r="I280" i="8"/>
  <c r="K280" i="8" s="1"/>
  <c r="K293" i="8"/>
  <c r="P287" i="8"/>
  <c r="P274" i="8"/>
  <c r="P191" i="8"/>
  <c r="L97" i="8"/>
  <c r="O97" i="8" s="1"/>
  <c r="I82" i="8"/>
  <c r="N26" i="8"/>
  <c r="N24" i="8" s="1"/>
  <c r="N65" i="8"/>
  <c r="P60" i="8"/>
  <c r="P194" i="6"/>
  <c r="P311" i="7"/>
  <c r="I169" i="7"/>
  <c r="K169" i="7" s="1"/>
  <c r="N336" i="8"/>
  <c r="N335" i="8"/>
  <c r="N333" i="8" s="1"/>
  <c r="L323" i="8"/>
  <c r="O323" i="8" s="1"/>
  <c r="N189" i="8"/>
  <c r="P189" i="8" s="1"/>
  <c r="P187" i="8"/>
  <c r="O102" i="8"/>
  <c r="L26" i="8"/>
  <c r="O26" i="8" s="1"/>
  <c r="L96" i="8"/>
  <c r="P67" i="8"/>
  <c r="M65" i="8"/>
  <c r="P65" i="8" s="1"/>
  <c r="N62" i="8"/>
  <c r="O62" i="8" s="1"/>
  <c r="L19" i="8"/>
  <c r="K314" i="8"/>
  <c r="L305" i="8"/>
  <c r="L268" i="8"/>
  <c r="K230" i="8"/>
  <c r="K198" i="8"/>
  <c r="L188" i="8"/>
  <c r="O178" i="8"/>
  <c r="O162" i="8"/>
  <c r="M141" i="8"/>
  <c r="M127" i="8"/>
  <c r="P99" i="8"/>
  <c r="O77" i="8"/>
  <c r="L61" i="8"/>
  <c r="O49" i="8"/>
  <c r="N23" i="8"/>
  <c r="K153" i="8"/>
  <c r="K85" i="8"/>
  <c r="M23" i="8"/>
  <c r="M175" i="8"/>
  <c r="M159" i="8"/>
  <c r="N96" i="8"/>
  <c r="N94" i="8" s="1"/>
  <c r="M74" i="8"/>
  <c r="M46" i="8"/>
  <c r="L175" i="6"/>
  <c r="L173" i="6" s="1"/>
  <c r="O311" i="7"/>
  <c r="I92" i="7"/>
  <c r="K92" i="7" s="1"/>
  <c r="N378" i="1"/>
  <c r="O99" i="7"/>
  <c r="L61" i="7"/>
  <c r="L59" i="7" s="1"/>
  <c r="O52" i="7"/>
  <c r="I253" i="7"/>
  <c r="K253" i="7" s="1"/>
  <c r="L234" i="7"/>
  <c r="M46" i="7"/>
  <c r="M44" i="7" s="1"/>
  <c r="K369" i="5"/>
  <c r="K368" i="7"/>
  <c r="K346" i="7"/>
  <c r="L233" i="7"/>
  <c r="K220" i="7"/>
  <c r="L383" i="7"/>
  <c r="O383" i="7" s="1"/>
  <c r="N322" i="7"/>
  <c r="N320" i="7" s="1"/>
  <c r="L285" i="7"/>
  <c r="O285" i="7" s="1"/>
  <c r="P274" i="7"/>
  <c r="O271" i="7"/>
  <c r="I202" i="7"/>
  <c r="K202" i="7" s="1"/>
  <c r="K152" i="7"/>
  <c r="P97" i="7"/>
  <c r="I195" i="7"/>
  <c r="K195" i="7" s="1"/>
  <c r="O77" i="7"/>
  <c r="M379" i="7"/>
  <c r="P379" i="7" s="1"/>
  <c r="P361" i="7"/>
  <c r="M268" i="7"/>
  <c r="P268" i="7" s="1"/>
  <c r="M188" i="7"/>
  <c r="M186" i="7" s="1"/>
  <c r="L159" i="7"/>
  <c r="L157" i="7" s="1"/>
  <c r="P102" i="7"/>
  <c r="N46" i="7"/>
  <c r="L159" i="6"/>
  <c r="L157" i="6" s="1"/>
  <c r="L78" i="6"/>
  <c r="O78" i="6" s="1"/>
  <c r="K369" i="7"/>
  <c r="M362" i="7"/>
  <c r="P362" i="7" s="1"/>
  <c r="J351" i="7"/>
  <c r="P336" i="7"/>
  <c r="P328" i="7"/>
  <c r="P308" i="7"/>
  <c r="M306" i="7"/>
  <c r="P306" i="7" s="1"/>
  <c r="O274" i="7"/>
  <c r="N268" i="7"/>
  <c r="N266" i="7" s="1"/>
  <c r="P194" i="7"/>
  <c r="O181" i="7"/>
  <c r="L127" i="7"/>
  <c r="O127" i="7" s="1"/>
  <c r="I83" i="7"/>
  <c r="K83" i="7" s="1"/>
  <c r="M74" i="7"/>
  <c r="P74" i="7" s="1"/>
  <c r="O60" i="7"/>
  <c r="M383" i="7"/>
  <c r="P383" i="7" s="1"/>
  <c r="N358" i="7"/>
  <c r="N356" i="7" s="1"/>
  <c r="M359" i="7"/>
  <c r="P359" i="7" s="1"/>
  <c r="P325" i="7"/>
  <c r="L268" i="7"/>
  <c r="L266" i="7" s="1"/>
  <c r="O266" i="7" s="1"/>
  <c r="K249" i="7"/>
  <c r="K229" i="7"/>
  <c r="L222" i="7"/>
  <c r="O222" i="7" s="1"/>
  <c r="P191" i="7"/>
  <c r="M179" i="7"/>
  <c r="P179" i="7" s="1"/>
  <c r="O165" i="7"/>
  <c r="M96" i="7"/>
  <c r="M94" i="7" s="1"/>
  <c r="N96" i="7"/>
  <c r="N94" i="7" s="1"/>
  <c r="L74" i="7"/>
  <c r="O74" i="7" s="1"/>
  <c r="N74" i="7"/>
  <c r="N72" i="7" s="1"/>
  <c r="P67" i="7"/>
  <c r="O49" i="7"/>
  <c r="N141" i="7"/>
  <c r="N139" i="7" s="1"/>
  <c r="O325" i="7"/>
  <c r="P304" i="7"/>
  <c r="K292" i="7"/>
  <c r="P271" i="7"/>
  <c r="L236" i="7"/>
  <c r="K221" i="7"/>
  <c r="L203" i="7"/>
  <c r="O203" i="7" s="1"/>
  <c r="O191" i="7"/>
  <c r="M175" i="7"/>
  <c r="M173" i="7" s="1"/>
  <c r="I172" i="7"/>
  <c r="K172" i="7" s="1"/>
  <c r="M163" i="7"/>
  <c r="P163" i="7" s="1"/>
  <c r="L160" i="7"/>
  <c r="O80" i="7"/>
  <c r="L65" i="7"/>
  <c r="O65" i="7" s="1"/>
  <c r="P306" i="6"/>
  <c r="P378" i="7"/>
  <c r="M288" i="7"/>
  <c r="P288" i="7" s="1"/>
  <c r="L175" i="7"/>
  <c r="L173" i="7" s="1"/>
  <c r="M159" i="7"/>
  <c r="P159" i="7" s="1"/>
  <c r="L62" i="7"/>
  <c r="M19" i="7"/>
  <c r="O336" i="7"/>
  <c r="K330" i="7"/>
  <c r="M269" i="7"/>
  <c r="P269" i="7" s="1"/>
  <c r="L235" i="7"/>
  <c r="I238" i="7"/>
  <c r="K238" i="7" s="1"/>
  <c r="L214" i="7"/>
  <c r="O214" i="7" s="1"/>
  <c r="N188" i="7"/>
  <c r="N186" i="7" s="1"/>
  <c r="N142" i="7"/>
  <c r="O142" i="7" s="1"/>
  <c r="N127" i="7"/>
  <c r="N125" i="7" s="1"/>
  <c r="K109" i="7"/>
  <c r="M61" i="7"/>
  <c r="M59" i="7" s="1"/>
  <c r="L46" i="7"/>
  <c r="L44" i="7" s="1"/>
  <c r="O357" i="7"/>
  <c r="K344" i="7"/>
  <c r="I332" i="7"/>
  <c r="M127" i="7"/>
  <c r="P130" i="7"/>
  <c r="P321" i="7"/>
  <c r="N309" i="7"/>
  <c r="N305" i="7"/>
  <c r="N303" i="7" s="1"/>
  <c r="N159" i="7"/>
  <c r="N157" i="7" s="1"/>
  <c r="O162" i="7"/>
  <c r="N160" i="7"/>
  <c r="N62" i="7"/>
  <c r="P62" i="7" s="1"/>
  <c r="P64" i="7"/>
  <c r="N61" i="7"/>
  <c r="N59" i="7" s="1"/>
  <c r="L19" i="7"/>
  <c r="O25" i="7"/>
  <c r="K152" i="6"/>
  <c r="O364" i="7"/>
  <c r="L362" i="7"/>
  <c r="O362" i="7" s="1"/>
  <c r="M358" i="7"/>
  <c r="M335" i="7"/>
  <c r="P341" i="7"/>
  <c r="O321" i="7"/>
  <c r="P187" i="7"/>
  <c r="L141" i="7"/>
  <c r="O144" i="7"/>
  <c r="L100" i="7"/>
  <c r="O100" i="7" s="1"/>
  <c r="O102" i="7"/>
  <c r="L96" i="7"/>
  <c r="M78" i="7"/>
  <c r="P78" i="7" s="1"/>
  <c r="P80" i="7"/>
  <c r="M26" i="7"/>
  <c r="L131" i="6"/>
  <c r="O131" i="6" s="1"/>
  <c r="O133" i="6"/>
  <c r="K371" i="7"/>
  <c r="I365" i="7"/>
  <c r="K365" i="7" s="1"/>
  <c r="M141" i="7"/>
  <c r="P147" i="7"/>
  <c r="P80" i="6"/>
  <c r="M78" i="6"/>
  <c r="P78" i="6" s="1"/>
  <c r="O361" i="7"/>
  <c r="L359" i="7"/>
  <c r="O359" i="7" s="1"/>
  <c r="L358" i="7"/>
  <c r="O341" i="7"/>
  <c r="L339" i="7"/>
  <c r="O339" i="7" s="1"/>
  <c r="O73" i="7"/>
  <c r="L380" i="7"/>
  <c r="O380" i="7" s="1"/>
  <c r="O338" i="7"/>
  <c r="L335" i="7"/>
  <c r="L284" i="7"/>
  <c r="O290" i="7"/>
  <c r="L254" i="7"/>
  <c r="O254" i="7" s="1"/>
  <c r="N175" i="7"/>
  <c r="O178" i="7"/>
  <c r="N176" i="7"/>
  <c r="O176" i="7" s="1"/>
  <c r="L128" i="6"/>
  <c r="O128" i="6" s="1"/>
  <c r="O130" i="6"/>
  <c r="L379" i="7"/>
  <c r="J332" i="7"/>
  <c r="J343" i="7"/>
  <c r="L305" i="7"/>
  <c r="O308" i="7"/>
  <c r="I280" i="7"/>
  <c r="K280" i="7" s="1"/>
  <c r="K293" i="7"/>
  <c r="P283" i="7"/>
  <c r="K242" i="7"/>
  <c r="M145" i="7"/>
  <c r="P145" i="7" s="1"/>
  <c r="M128" i="7"/>
  <c r="P128" i="7" s="1"/>
  <c r="P19" i="7"/>
  <c r="J343" i="6"/>
  <c r="K344" i="6"/>
  <c r="K229" i="6"/>
  <c r="L46" i="6"/>
  <c r="L44" i="6" s="1"/>
  <c r="P382" i="7"/>
  <c r="N335" i="7"/>
  <c r="N333" i="7" s="1"/>
  <c r="O328" i="7"/>
  <c r="M322" i="7"/>
  <c r="P322" i="7" s="1"/>
  <c r="K314" i="7"/>
  <c r="N284" i="7"/>
  <c r="N282" i="7" s="1"/>
  <c r="K230" i="7"/>
  <c r="O194" i="7"/>
  <c r="L188" i="7"/>
  <c r="P174" i="7"/>
  <c r="M160" i="7"/>
  <c r="P160" i="7" s="1"/>
  <c r="P158" i="7"/>
  <c r="K153" i="7"/>
  <c r="P144" i="7"/>
  <c r="O64" i="7"/>
  <c r="L23" i="7"/>
  <c r="M47" i="7"/>
  <c r="M23" i="7"/>
  <c r="P49" i="7"/>
  <c r="N47" i="7"/>
  <c r="O47" i="7" s="1"/>
  <c r="L128" i="7"/>
  <c r="O128" i="7" s="1"/>
  <c r="K369" i="6"/>
  <c r="K108" i="6"/>
  <c r="P338" i="7"/>
  <c r="L322" i="7"/>
  <c r="O322" i="7" s="1"/>
  <c r="M284" i="7"/>
  <c r="P284" i="7" s="1"/>
  <c r="L243" i="7"/>
  <c r="I136" i="7"/>
  <c r="K136" i="7" s="1"/>
  <c r="I82" i="7"/>
  <c r="N26" i="7"/>
  <c r="N24" i="7" s="1"/>
  <c r="P178" i="7"/>
  <c r="L145" i="7"/>
  <c r="O145" i="7" s="1"/>
  <c r="L235" i="6"/>
  <c r="N379" i="7"/>
  <c r="N377" i="7" s="1"/>
  <c r="P133" i="7"/>
  <c r="O130" i="7"/>
  <c r="M75" i="7"/>
  <c r="P75" i="7" s="1"/>
  <c r="P77" i="7"/>
  <c r="M50" i="7"/>
  <c r="P50" i="7" s="1"/>
  <c r="P52" i="7"/>
  <c r="N50" i="7"/>
  <c r="N23" i="7"/>
  <c r="L379" i="6"/>
  <c r="O379" i="6" s="1"/>
  <c r="M285" i="7"/>
  <c r="P285" i="7" s="1"/>
  <c r="K93" i="7"/>
  <c r="L26" i="7"/>
  <c r="O26" i="7" s="1"/>
  <c r="P22" i="7"/>
  <c r="O385" i="6"/>
  <c r="J351" i="6"/>
  <c r="K346" i="6"/>
  <c r="N127" i="6"/>
  <c r="N125" i="6" s="1"/>
  <c r="O382" i="6"/>
  <c r="M309" i="6"/>
  <c r="P309" i="6" s="1"/>
  <c r="L234" i="6"/>
  <c r="O308" i="6"/>
  <c r="M272" i="6"/>
  <c r="P272" i="6" s="1"/>
  <c r="L222" i="6"/>
  <c r="O222" i="6" s="1"/>
  <c r="L214" i="6"/>
  <c r="O214" i="6" s="1"/>
  <c r="K368" i="6"/>
  <c r="P341" i="6"/>
  <c r="N335" i="6"/>
  <c r="N333" i="6" s="1"/>
  <c r="P325" i="6"/>
  <c r="O306" i="6"/>
  <c r="L254" i="6"/>
  <c r="O254" i="6" s="1"/>
  <c r="O189" i="6"/>
  <c r="M100" i="6"/>
  <c r="P100" i="6" s="1"/>
  <c r="M335" i="6"/>
  <c r="M333" i="6" s="1"/>
  <c r="P333" i="6" s="1"/>
  <c r="K260" i="6"/>
  <c r="K220" i="6"/>
  <c r="M163" i="6"/>
  <c r="P163" i="6" s="1"/>
  <c r="P144" i="6"/>
  <c r="O311" i="6"/>
  <c r="O290" i="6"/>
  <c r="K209" i="6"/>
  <c r="N175" i="6"/>
  <c r="N173" i="6" s="1"/>
  <c r="O144" i="6"/>
  <c r="P133" i="6"/>
  <c r="M50" i="6"/>
  <c r="P50" i="6" s="1"/>
  <c r="K371" i="6"/>
  <c r="I332" i="6"/>
  <c r="K330" i="6"/>
  <c r="O287" i="6"/>
  <c r="P189" i="6"/>
  <c r="N61" i="6"/>
  <c r="N59" i="6" s="1"/>
  <c r="M46" i="6"/>
  <c r="M44" i="6" s="1"/>
  <c r="L233" i="6"/>
  <c r="L65" i="6"/>
  <c r="O65" i="6" s="1"/>
  <c r="L362" i="6"/>
  <c r="O362" i="6" s="1"/>
  <c r="L335" i="6"/>
  <c r="L333" i="6" s="1"/>
  <c r="N96" i="6"/>
  <c r="N94" i="6" s="1"/>
  <c r="M362" i="6"/>
  <c r="P362" i="6" s="1"/>
  <c r="L380" i="6"/>
  <c r="O380" i="6" s="1"/>
  <c r="K365" i="6"/>
  <c r="O361" i="6"/>
  <c r="J332" i="6"/>
  <c r="K319" i="6"/>
  <c r="M323" i="6"/>
  <c r="P323" i="6" s="1"/>
  <c r="K314" i="6"/>
  <c r="P271" i="6"/>
  <c r="I238" i="6"/>
  <c r="K238" i="6" s="1"/>
  <c r="M159" i="6"/>
  <c r="P159" i="6" s="1"/>
  <c r="K153" i="6"/>
  <c r="N141" i="6"/>
  <c r="N139" i="6" s="1"/>
  <c r="N142" i="6"/>
  <c r="P142" i="6" s="1"/>
  <c r="L127" i="6"/>
  <c r="O127" i="6" s="1"/>
  <c r="N74" i="6"/>
  <c r="N72" i="6" s="1"/>
  <c r="P67" i="6"/>
  <c r="M61" i="6"/>
  <c r="M59" i="6" s="1"/>
  <c r="M47" i="6"/>
  <c r="P47" i="6" s="1"/>
  <c r="N19" i="6"/>
  <c r="L339" i="6"/>
  <c r="O339" i="6" s="1"/>
  <c r="O341" i="5"/>
  <c r="M284" i="5"/>
  <c r="P284" i="5" s="1"/>
  <c r="P361" i="6"/>
  <c r="M305" i="6"/>
  <c r="M303" i="6" s="1"/>
  <c r="N305" i="6"/>
  <c r="K293" i="6"/>
  <c r="L284" i="6"/>
  <c r="L282" i="6" s="1"/>
  <c r="L236" i="6"/>
  <c r="J231" i="6"/>
  <c r="J185" i="6" s="1"/>
  <c r="O162" i="6"/>
  <c r="P147" i="6"/>
  <c r="I82" i="6"/>
  <c r="K82" i="6" s="1"/>
  <c r="M74" i="6"/>
  <c r="P74" i="6" s="1"/>
  <c r="L61" i="6"/>
  <c r="L59" i="6" s="1"/>
  <c r="L47" i="6"/>
  <c r="O47" i="6" s="1"/>
  <c r="M358" i="6"/>
  <c r="M356" i="6" s="1"/>
  <c r="L305" i="6"/>
  <c r="L303" i="6" s="1"/>
  <c r="M268" i="6"/>
  <c r="P268" i="6" s="1"/>
  <c r="O147" i="6"/>
  <c r="P130" i="6"/>
  <c r="P45" i="6"/>
  <c r="L358" i="6"/>
  <c r="L356" i="6" s="1"/>
  <c r="L203" i="6"/>
  <c r="O203" i="6" s="1"/>
  <c r="M188" i="6"/>
  <c r="M186" i="6" s="1"/>
  <c r="K183" i="6"/>
  <c r="N176" i="6"/>
  <c r="P176" i="6" s="1"/>
  <c r="K137" i="6"/>
  <c r="N128" i="6"/>
  <c r="L19" i="6"/>
  <c r="O19" i="6" s="1"/>
  <c r="N379" i="6"/>
  <c r="N377" i="6" s="1"/>
  <c r="M322" i="6"/>
  <c r="P328" i="6"/>
  <c r="M326" i="6"/>
  <c r="P326" i="6" s="1"/>
  <c r="M26" i="6"/>
  <c r="P26" i="6" s="1"/>
  <c r="L268" i="6"/>
  <c r="O274" i="6"/>
  <c r="K172" i="6"/>
  <c r="N284" i="1"/>
  <c r="O99" i="5"/>
  <c r="L97" i="5"/>
  <c r="O97" i="5" s="1"/>
  <c r="L323" i="6"/>
  <c r="O323" i="6" s="1"/>
  <c r="L322" i="6"/>
  <c r="O325" i="6"/>
  <c r="P287" i="6"/>
  <c r="M284" i="6"/>
  <c r="M285" i="6"/>
  <c r="P285" i="6" s="1"/>
  <c r="N284" i="6"/>
  <c r="N288" i="6"/>
  <c r="P378" i="6"/>
  <c r="L188" i="6"/>
  <c r="O191" i="6"/>
  <c r="O102" i="6"/>
  <c r="L100" i="6"/>
  <c r="O100" i="6" s="1"/>
  <c r="P99" i="6"/>
  <c r="M97" i="6"/>
  <c r="P97" i="6" s="1"/>
  <c r="O165" i="6"/>
  <c r="L163" i="6"/>
  <c r="O163" i="6" s="1"/>
  <c r="M96" i="6"/>
  <c r="P96" i="6" s="1"/>
  <c r="M379" i="6"/>
  <c r="P379" i="6" s="1"/>
  <c r="N358" i="6"/>
  <c r="N356" i="6" s="1"/>
  <c r="M336" i="6"/>
  <c r="P336" i="6" s="1"/>
  <c r="K302" i="6"/>
  <c r="K280" i="6"/>
  <c r="I231" i="6"/>
  <c r="K242" i="6"/>
  <c r="L192" i="6"/>
  <c r="O192" i="6" s="1"/>
  <c r="K109" i="6"/>
  <c r="I93" i="6"/>
  <c r="K93" i="6" s="1"/>
  <c r="O99" i="6"/>
  <c r="L97" i="6"/>
  <c r="O97" i="6" s="1"/>
  <c r="L96" i="6"/>
  <c r="O96" i="6" s="1"/>
  <c r="O52" i="6"/>
  <c r="L26" i="6"/>
  <c r="M383" i="5"/>
  <c r="P383" i="5" s="1"/>
  <c r="L380" i="5"/>
  <c r="O380" i="5" s="1"/>
  <c r="L335" i="5"/>
  <c r="L333" i="5" s="1"/>
  <c r="M383" i="6"/>
  <c r="P383" i="6" s="1"/>
  <c r="M380" i="6"/>
  <c r="P380" i="6" s="1"/>
  <c r="N359" i="6"/>
  <c r="O338" i="6"/>
  <c r="L336" i="6"/>
  <c r="O336" i="6" s="1"/>
  <c r="M288" i="6"/>
  <c r="P288" i="6" s="1"/>
  <c r="L285" i="6"/>
  <c r="O285" i="6" s="1"/>
  <c r="O271" i="6"/>
  <c r="N268" i="6"/>
  <c r="N266" i="6" s="1"/>
  <c r="K249" i="6"/>
  <c r="K198" i="6"/>
  <c r="P191" i="6"/>
  <c r="O181" i="6"/>
  <c r="O178" i="6"/>
  <c r="L176" i="6"/>
  <c r="K167" i="6"/>
  <c r="L75" i="6"/>
  <c r="O75" i="6" s="1"/>
  <c r="P25" i="6"/>
  <c r="P178" i="6"/>
  <c r="N322" i="6"/>
  <c r="N320" i="6" s="1"/>
  <c r="K292" i="6"/>
  <c r="N188" i="6"/>
  <c r="I168" i="6"/>
  <c r="K168" i="6" s="1"/>
  <c r="I169" i="6"/>
  <c r="K169" i="6" s="1"/>
  <c r="L74" i="6"/>
  <c r="O74" i="6" s="1"/>
  <c r="L23" i="6"/>
  <c r="O49" i="6"/>
  <c r="P19" i="6"/>
  <c r="O328" i="6"/>
  <c r="M179" i="6"/>
  <c r="P179" i="6" s="1"/>
  <c r="M175" i="6"/>
  <c r="O95" i="6"/>
  <c r="P64" i="6"/>
  <c r="N62" i="6"/>
  <c r="P338" i="6"/>
  <c r="P308" i="6"/>
  <c r="L243" i="6"/>
  <c r="L179" i="6"/>
  <c r="O179" i="6" s="1"/>
  <c r="L160" i="6"/>
  <c r="O160" i="6" s="1"/>
  <c r="I83" i="6"/>
  <c r="O64" i="6"/>
  <c r="N26" i="6"/>
  <c r="N24" i="6" s="1"/>
  <c r="O174" i="6"/>
  <c r="P162" i="6"/>
  <c r="K154" i="6"/>
  <c r="P95" i="6"/>
  <c r="P77" i="6"/>
  <c r="O73" i="6"/>
  <c r="P49" i="6"/>
  <c r="O45" i="6"/>
  <c r="M141" i="6"/>
  <c r="M127" i="6"/>
  <c r="N23" i="6"/>
  <c r="N159" i="6"/>
  <c r="L141" i="6"/>
  <c r="K85" i="6"/>
  <c r="N46" i="6"/>
  <c r="M23" i="6"/>
  <c r="P338" i="5"/>
  <c r="O311" i="5"/>
  <c r="O130" i="5"/>
  <c r="N96" i="5"/>
  <c r="N94" i="5" s="1"/>
  <c r="O285" i="4"/>
  <c r="K346" i="5"/>
  <c r="K169" i="5"/>
  <c r="P142" i="5"/>
  <c r="M379" i="5"/>
  <c r="P379" i="5" s="1"/>
  <c r="L234" i="5"/>
  <c r="O181" i="4"/>
  <c r="N335" i="4"/>
  <c r="N333" i="4" s="1"/>
  <c r="L236" i="4"/>
  <c r="P364" i="5"/>
  <c r="J351" i="5"/>
  <c r="N335" i="5"/>
  <c r="N333" i="5" s="1"/>
  <c r="L254" i="5"/>
  <c r="O254" i="5" s="1"/>
  <c r="I202" i="5"/>
  <c r="K202" i="5" s="1"/>
  <c r="O64" i="5"/>
  <c r="L236" i="5"/>
  <c r="O194" i="5"/>
  <c r="O178" i="5"/>
  <c r="P162" i="5"/>
  <c r="K154" i="5"/>
  <c r="O147" i="5"/>
  <c r="N26" i="5"/>
  <c r="N24" i="5" s="1"/>
  <c r="M358" i="5"/>
  <c r="M356" i="5" s="1"/>
  <c r="L305" i="5"/>
  <c r="L303" i="5" s="1"/>
  <c r="O191" i="5"/>
  <c r="O142" i="5"/>
  <c r="O133" i="5"/>
  <c r="P77" i="5"/>
  <c r="M61" i="5"/>
  <c r="M59" i="5" s="1"/>
  <c r="K344" i="4"/>
  <c r="K209" i="4"/>
  <c r="P382" i="5"/>
  <c r="P290" i="5"/>
  <c r="L268" i="5"/>
  <c r="O268" i="5" s="1"/>
  <c r="I280" i="5"/>
  <c r="K280" i="5" s="1"/>
  <c r="K365" i="4"/>
  <c r="M322" i="4"/>
  <c r="M320" i="4" s="1"/>
  <c r="P320" i="4" s="1"/>
  <c r="O359" i="5"/>
  <c r="O328" i="5"/>
  <c r="L306" i="5"/>
  <c r="K292" i="5"/>
  <c r="O274" i="5"/>
  <c r="N268" i="5"/>
  <c r="N266" i="5" s="1"/>
  <c r="L235" i="5"/>
  <c r="L222" i="5"/>
  <c r="O222" i="5" s="1"/>
  <c r="P181" i="5"/>
  <c r="I172" i="5"/>
  <c r="K172" i="5" s="1"/>
  <c r="P165" i="5"/>
  <c r="P130" i="5"/>
  <c r="L96" i="5"/>
  <c r="O96" i="5" s="1"/>
  <c r="L65" i="5"/>
  <c r="O65" i="5" s="1"/>
  <c r="P52" i="5"/>
  <c r="M380" i="5"/>
  <c r="P380" i="5" s="1"/>
  <c r="N322" i="5"/>
  <c r="N320" i="5" s="1"/>
  <c r="O308" i="5"/>
  <c r="I253" i="5"/>
  <c r="K253" i="5" s="1"/>
  <c r="I238" i="5"/>
  <c r="K238" i="5" s="1"/>
  <c r="I221" i="5"/>
  <c r="K221" i="5" s="1"/>
  <c r="I213" i="5"/>
  <c r="K213" i="5" s="1"/>
  <c r="L179" i="5"/>
  <c r="O179" i="5" s="1"/>
  <c r="L163" i="5"/>
  <c r="O163" i="5" s="1"/>
  <c r="P80" i="5"/>
  <c r="L50" i="5"/>
  <c r="O50" i="5" s="1"/>
  <c r="O385" i="5"/>
  <c r="K365" i="5"/>
  <c r="O338" i="5"/>
  <c r="N336" i="5"/>
  <c r="P336" i="5" s="1"/>
  <c r="O271" i="5"/>
  <c r="L214" i="5"/>
  <c r="O214" i="5" s="1"/>
  <c r="P178" i="5"/>
  <c r="K152" i="5"/>
  <c r="P147" i="5"/>
  <c r="N61" i="5"/>
  <c r="N59" i="5" s="1"/>
  <c r="P49" i="5"/>
  <c r="N19" i="5"/>
  <c r="P102" i="4"/>
  <c r="L379" i="5"/>
  <c r="O379" i="5" s="1"/>
  <c r="K368" i="5"/>
  <c r="P361" i="5"/>
  <c r="L336" i="5"/>
  <c r="L322" i="5"/>
  <c r="O322" i="5" s="1"/>
  <c r="P287" i="5"/>
  <c r="M285" i="5"/>
  <c r="P285" i="5" s="1"/>
  <c r="N175" i="5"/>
  <c r="N173" i="5" s="1"/>
  <c r="P176" i="5"/>
  <c r="L160" i="5"/>
  <c r="O160" i="5" s="1"/>
  <c r="L75" i="5"/>
  <c r="O75" i="5" s="1"/>
  <c r="N65" i="5"/>
  <c r="N358" i="5"/>
  <c r="N356" i="5" s="1"/>
  <c r="M359" i="5"/>
  <c r="P359" i="5" s="1"/>
  <c r="P341" i="5"/>
  <c r="M335" i="5"/>
  <c r="M268" i="5"/>
  <c r="P268" i="5" s="1"/>
  <c r="L269" i="5"/>
  <c r="O269" i="5" s="1"/>
  <c r="N232" i="5"/>
  <c r="L203" i="5"/>
  <c r="O203" i="5" s="1"/>
  <c r="K198" i="5"/>
  <c r="M175" i="5"/>
  <c r="M173" i="5" s="1"/>
  <c r="L176" i="5"/>
  <c r="O176" i="5" s="1"/>
  <c r="M159" i="5"/>
  <c r="M157" i="5" s="1"/>
  <c r="P157" i="5" s="1"/>
  <c r="P133" i="5"/>
  <c r="M100" i="5"/>
  <c r="P100" i="5" s="1"/>
  <c r="N97" i="5"/>
  <c r="M74" i="5"/>
  <c r="P74" i="5" s="1"/>
  <c r="P73" i="5"/>
  <c r="L61" i="5"/>
  <c r="L59" i="5" s="1"/>
  <c r="M46" i="5"/>
  <c r="M44" i="5" s="1"/>
  <c r="M19" i="5"/>
  <c r="P19" i="5" s="1"/>
  <c r="N379" i="5"/>
  <c r="N377" i="5" s="1"/>
  <c r="O364" i="5"/>
  <c r="O361" i="5"/>
  <c r="M326" i="5"/>
  <c r="P326" i="5" s="1"/>
  <c r="O321" i="5"/>
  <c r="I319" i="5"/>
  <c r="K319" i="5" s="1"/>
  <c r="P308" i="5"/>
  <c r="M306" i="5"/>
  <c r="N306" i="5"/>
  <c r="N284" i="5"/>
  <c r="N282" i="5" s="1"/>
  <c r="P191" i="5"/>
  <c r="M189" i="5"/>
  <c r="N189" i="5"/>
  <c r="O189" i="5" s="1"/>
  <c r="L26" i="5"/>
  <c r="L233" i="5"/>
  <c r="K371" i="5"/>
  <c r="K344" i="5"/>
  <c r="M322" i="5"/>
  <c r="L288" i="5"/>
  <c r="O288" i="5" s="1"/>
  <c r="L284" i="5"/>
  <c r="L175" i="5"/>
  <c r="L100" i="5"/>
  <c r="O100" i="5" s="1"/>
  <c r="I83" i="5"/>
  <c r="I82" i="5"/>
  <c r="L74" i="5"/>
  <c r="O74" i="5" s="1"/>
  <c r="P64" i="5"/>
  <c r="M62" i="5"/>
  <c r="N62" i="5"/>
  <c r="O62" i="5" s="1"/>
  <c r="P47" i="5"/>
  <c r="L323" i="5"/>
  <c r="O323" i="5" s="1"/>
  <c r="N127" i="5"/>
  <c r="N125" i="5" s="1"/>
  <c r="L74" i="4"/>
  <c r="L72" i="4" s="1"/>
  <c r="O72" i="4" s="1"/>
  <c r="J332" i="5"/>
  <c r="K332" i="5" s="1"/>
  <c r="O325" i="5"/>
  <c r="P311" i="5"/>
  <c r="M309" i="5"/>
  <c r="P309" i="5" s="1"/>
  <c r="I302" i="5"/>
  <c r="K302" i="5" s="1"/>
  <c r="P283" i="5"/>
  <c r="L243" i="5"/>
  <c r="N188" i="5"/>
  <c r="N186" i="5" s="1"/>
  <c r="N141" i="5"/>
  <c r="N139" i="5" s="1"/>
  <c r="M97" i="5"/>
  <c r="P97" i="5" s="1"/>
  <c r="I93" i="5"/>
  <c r="K93" i="5" s="1"/>
  <c r="O47" i="5"/>
  <c r="P25" i="5"/>
  <c r="L19" i="5"/>
  <c r="P274" i="5"/>
  <c r="M272" i="5"/>
  <c r="P272" i="5" s="1"/>
  <c r="M26" i="5"/>
  <c r="P26" i="5" s="1"/>
  <c r="P325" i="4"/>
  <c r="L358" i="5"/>
  <c r="N305" i="5"/>
  <c r="P271" i="5"/>
  <c r="M269" i="5"/>
  <c r="P269" i="5" s="1"/>
  <c r="P194" i="5"/>
  <c r="M192" i="5"/>
  <c r="P192" i="5" s="1"/>
  <c r="M188" i="5"/>
  <c r="M186" i="5" s="1"/>
  <c r="P144" i="5"/>
  <c r="O95" i="5"/>
  <c r="L78" i="5"/>
  <c r="O78" i="5" s="1"/>
  <c r="P67" i="5"/>
  <c r="M65" i="5"/>
  <c r="P65" i="5" s="1"/>
  <c r="P189" i="3"/>
  <c r="L127" i="4"/>
  <c r="O127" i="4" s="1"/>
  <c r="J343" i="5"/>
  <c r="M323" i="5"/>
  <c r="P323" i="5" s="1"/>
  <c r="M305" i="5"/>
  <c r="L285" i="5"/>
  <c r="O285" i="5" s="1"/>
  <c r="L159" i="5"/>
  <c r="O159" i="5" s="1"/>
  <c r="O144" i="5"/>
  <c r="K108" i="5"/>
  <c r="M96" i="5"/>
  <c r="P96" i="5" s="1"/>
  <c r="L23" i="5"/>
  <c r="O49" i="5"/>
  <c r="L46" i="5"/>
  <c r="L44" i="5" s="1"/>
  <c r="L188" i="5"/>
  <c r="L186" i="5" s="1"/>
  <c r="M141" i="5"/>
  <c r="M139" i="5" s="1"/>
  <c r="M127" i="5"/>
  <c r="N23" i="5"/>
  <c r="K249" i="5"/>
  <c r="N159" i="5"/>
  <c r="N157" i="5" s="1"/>
  <c r="K153" i="5"/>
  <c r="L141" i="5"/>
  <c r="L127" i="5"/>
  <c r="K85" i="5"/>
  <c r="N74" i="5"/>
  <c r="N72" i="5" s="1"/>
  <c r="N46" i="5"/>
  <c r="N44" i="5" s="1"/>
  <c r="M23" i="5"/>
  <c r="O382" i="4"/>
  <c r="M96" i="4"/>
  <c r="P96" i="4" s="1"/>
  <c r="M74" i="4"/>
  <c r="P74" i="4" s="1"/>
  <c r="O52" i="4"/>
  <c r="P364" i="4"/>
  <c r="O361" i="4"/>
  <c r="L214" i="4"/>
  <c r="O214" i="4" s="1"/>
  <c r="P67" i="4"/>
  <c r="K220" i="4"/>
  <c r="L46" i="4"/>
  <c r="L44" i="4" s="1"/>
  <c r="P308" i="4"/>
  <c r="M268" i="4"/>
  <c r="P268" i="4" s="1"/>
  <c r="L234" i="4"/>
  <c r="K368" i="4"/>
  <c r="K330" i="4"/>
  <c r="M159" i="4"/>
  <c r="P159" i="4" s="1"/>
  <c r="L188" i="4"/>
  <c r="L186" i="4" s="1"/>
  <c r="M379" i="3"/>
  <c r="M377" i="3" s="1"/>
  <c r="P377" i="3" s="1"/>
  <c r="O359" i="3"/>
  <c r="N379" i="4"/>
  <c r="N377" i="4" s="1"/>
  <c r="J351" i="4"/>
  <c r="K346" i="4"/>
  <c r="I156" i="4"/>
  <c r="K156" i="4" s="1"/>
  <c r="N61" i="4"/>
  <c r="N59" i="4" s="1"/>
  <c r="P274" i="4"/>
  <c r="I238" i="4"/>
  <c r="K238" i="4" s="1"/>
  <c r="I195" i="4"/>
  <c r="K195" i="4" s="1"/>
  <c r="M163" i="4"/>
  <c r="P163" i="4" s="1"/>
  <c r="O144" i="4"/>
  <c r="P47" i="4"/>
  <c r="K371" i="4"/>
  <c r="M288" i="4"/>
  <c r="P288" i="4" s="1"/>
  <c r="P271" i="4"/>
  <c r="P194" i="4"/>
  <c r="K153" i="4"/>
  <c r="O99" i="4"/>
  <c r="M285" i="3"/>
  <c r="P285" i="3" s="1"/>
  <c r="O133" i="4"/>
  <c r="L284" i="4"/>
  <c r="L75" i="4"/>
  <c r="O75" i="4" s="1"/>
  <c r="N96" i="3"/>
  <c r="N94" i="3" s="1"/>
  <c r="O385" i="4"/>
  <c r="O364" i="4"/>
  <c r="L339" i="4"/>
  <c r="O339" i="4" s="1"/>
  <c r="L305" i="4"/>
  <c r="O305" i="4" s="1"/>
  <c r="O308" i="4"/>
  <c r="O271" i="4"/>
  <c r="M266" i="4"/>
  <c r="P266" i="4" s="1"/>
  <c r="K260" i="4"/>
  <c r="K249" i="4"/>
  <c r="M179" i="4"/>
  <c r="P179" i="4" s="1"/>
  <c r="N141" i="4"/>
  <c r="N139" i="4" s="1"/>
  <c r="M141" i="4"/>
  <c r="P141" i="4" s="1"/>
  <c r="K108" i="4"/>
  <c r="N96" i="4"/>
  <c r="N94" i="4" s="1"/>
  <c r="N97" i="4"/>
  <c r="M78" i="4"/>
  <c r="P78" i="4" s="1"/>
  <c r="M50" i="4"/>
  <c r="P50" i="4" s="1"/>
  <c r="N380" i="4"/>
  <c r="K314" i="4"/>
  <c r="M269" i="4"/>
  <c r="P269" i="4" s="1"/>
  <c r="M160" i="4"/>
  <c r="P160" i="4" s="1"/>
  <c r="L141" i="4"/>
  <c r="O141" i="4" s="1"/>
  <c r="M97" i="4"/>
  <c r="P97" i="4" s="1"/>
  <c r="L78" i="4"/>
  <c r="O78" i="4" s="1"/>
  <c r="M61" i="4"/>
  <c r="M59" i="4" s="1"/>
  <c r="L233" i="4"/>
  <c r="K346" i="3"/>
  <c r="K330" i="3"/>
  <c r="O325" i="4"/>
  <c r="M305" i="4"/>
  <c r="P305" i="4" s="1"/>
  <c r="N268" i="4"/>
  <c r="N266" i="4" s="1"/>
  <c r="L254" i="4"/>
  <c r="O254" i="4" s="1"/>
  <c r="J231" i="4"/>
  <c r="J185" i="4" s="1"/>
  <c r="L203" i="4"/>
  <c r="O203" i="4" s="1"/>
  <c r="P176" i="4"/>
  <c r="O165" i="4"/>
  <c r="L159" i="4"/>
  <c r="L160" i="4"/>
  <c r="O160" i="4" s="1"/>
  <c r="O77" i="4"/>
  <c r="O49" i="4"/>
  <c r="I92" i="3"/>
  <c r="K92" i="3" s="1"/>
  <c r="P67" i="3"/>
  <c r="L335" i="4"/>
  <c r="L333" i="4" s="1"/>
  <c r="N322" i="4"/>
  <c r="N320" i="4" s="1"/>
  <c r="L322" i="4"/>
  <c r="O322" i="4" s="1"/>
  <c r="P285" i="4"/>
  <c r="L268" i="4"/>
  <c r="O268" i="4" s="1"/>
  <c r="L235" i="4"/>
  <c r="I242" i="4"/>
  <c r="K242" i="4" s="1"/>
  <c r="L189" i="4"/>
  <c r="M175" i="4"/>
  <c r="M173" i="4" s="1"/>
  <c r="N159" i="4"/>
  <c r="N157" i="4" s="1"/>
  <c r="I82" i="4"/>
  <c r="K82" i="4" s="1"/>
  <c r="L47" i="4"/>
  <c r="O47" i="4" s="1"/>
  <c r="M19" i="4"/>
  <c r="K369" i="4"/>
  <c r="L358" i="4"/>
  <c r="J343" i="4"/>
  <c r="M309" i="4"/>
  <c r="P309" i="4" s="1"/>
  <c r="M284" i="4"/>
  <c r="M282" i="4" s="1"/>
  <c r="L222" i="4"/>
  <c r="O222" i="4" s="1"/>
  <c r="M188" i="4"/>
  <c r="M186" i="4" s="1"/>
  <c r="L175" i="4"/>
  <c r="L173" i="4" s="1"/>
  <c r="N127" i="4"/>
  <c r="N125" i="4" s="1"/>
  <c r="P99" i="4"/>
  <c r="M75" i="4"/>
  <c r="P75" i="4" s="1"/>
  <c r="M46" i="4"/>
  <c r="M44" i="4" s="1"/>
  <c r="O336" i="4"/>
  <c r="M335" i="4"/>
  <c r="O176" i="4"/>
  <c r="O165" i="3"/>
  <c r="M383" i="4"/>
  <c r="P383" i="4" s="1"/>
  <c r="M380" i="4"/>
  <c r="P380" i="4" s="1"/>
  <c r="L379" i="4"/>
  <c r="O379" i="4" s="1"/>
  <c r="N359" i="4"/>
  <c r="O359" i="4" s="1"/>
  <c r="M358" i="4"/>
  <c r="J332" i="4"/>
  <c r="K332" i="4" s="1"/>
  <c r="P338" i="4"/>
  <c r="P328" i="4"/>
  <c r="O290" i="4"/>
  <c r="O274" i="4"/>
  <c r="P267" i="4"/>
  <c r="I172" i="4"/>
  <c r="K172" i="4" s="1"/>
  <c r="I136" i="4"/>
  <c r="K136" i="4" s="1"/>
  <c r="K154" i="4"/>
  <c r="M142" i="4"/>
  <c r="P142" i="4" s="1"/>
  <c r="O130" i="4"/>
  <c r="O102" i="4"/>
  <c r="I83" i="4"/>
  <c r="N74" i="4"/>
  <c r="N72" i="4" s="1"/>
  <c r="P60" i="4"/>
  <c r="P19" i="4"/>
  <c r="M379" i="4"/>
  <c r="M131" i="4"/>
  <c r="P131" i="4" s="1"/>
  <c r="N26" i="4"/>
  <c r="N24" i="4" s="1"/>
  <c r="K260" i="3"/>
  <c r="I238" i="3"/>
  <c r="K238" i="3" s="1"/>
  <c r="O62" i="3"/>
  <c r="O334" i="4"/>
  <c r="O328" i="4"/>
  <c r="K293" i="4"/>
  <c r="I221" i="4"/>
  <c r="K221" i="4" s="1"/>
  <c r="L192" i="4"/>
  <c r="O192" i="4" s="1"/>
  <c r="O147" i="4"/>
  <c r="O140" i="4"/>
  <c r="P64" i="4"/>
  <c r="N62" i="4"/>
  <c r="P62" i="4" s="1"/>
  <c r="L26" i="4"/>
  <c r="O26" i="4" s="1"/>
  <c r="N358" i="4"/>
  <c r="N356" i="4" s="1"/>
  <c r="O378" i="4"/>
  <c r="P357" i="4"/>
  <c r="P336" i="4"/>
  <c r="L309" i="4"/>
  <c r="O309" i="4" s="1"/>
  <c r="I281" i="4"/>
  <c r="K281" i="4" s="1"/>
  <c r="P191" i="4"/>
  <c r="N189" i="4"/>
  <c r="P189" i="4" s="1"/>
  <c r="P130" i="4"/>
  <c r="M23" i="4"/>
  <c r="M21" i="4" s="1"/>
  <c r="M128" i="4"/>
  <c r="P128" i="4" s="1"/>
  <c r="O67" i="4"/>
  <c r="L65" i="4"/>
  <c r="O65" i="4" s="1"/>
  <c r="O25" i="4"/>
  <c r="P361" i="4"/>
  <c r="P341" i="4"/>
  <c r="M326" i="4"/>
  <c r="P326" i="4" s="1"/>
  <c r="N305" i="4"/>
  <c r="N303" i="4" s="1"/>
  <c r="L288" i="4"/>
  <c r="O288" i="4" s="1"/>
  <c r="N284" i="4"/>
  <c r="K202" i="4"/>
  <c r="N175" i="4"/>
  <c r="K152" i="4"/>
  <c r="I137" i="4"/>
  <c r="K137" i="4" s="1"/>
  <c r="M145" i="4"/>
  <c r="P145" i="4" s="1"/>
  <c r="O126" i="4"/>
  <c r="L96" i="4"/>
  <c r="O96" i="4" s="1"/>
  <c r="O64" i="4"/>
  <c r="L62" i="4"/>
  <c r="L61" i="4"/>
  <c r="N339" i="4"/>
  <c r="O287" i="4"/>
  <c r="K280" i="4"/>
  <c r="L243" i="4"/>
  <c r="O191" i="4"/>
  <c r="N188" i="4"/>
  <c r="O178" i="4"/>
  <c r="M127" i="4"/>
  <c r="M26" i="4"/>
  <c r="P26" i="4" s="1"/>
  <c r="L19" i="4"/>
  <c r="O338" i="4"/>
  <c r="P287" i="4"/>
  <c r="P178" i="4"/>
  <c r="P162" i="4"/>
  <c r="I93" i="4"/>
  <c r="K93" i="4" s="1"/>
  <c r="P77" i="4"/>
  <c r="P49" i="4"/>
  <c r="N23" i="4"/>
  <c r="N46" i="4"/>
  <c r="N50" i="4"/>
  <c r="L23" i="4"/>
  <c r="P22" i="4"/>
  <c r="N379" i="1"/>
  <c r="M272" i="3"/>
  <c r="P272" i="3" s="1"/>
  <c r="P328" i="3"/>
  <c r="M322" i="3"/>
  <c r="P322" i="3" s="1"/>
  <c r="M61" i="3"/>
  <c r="M59" i="3" s="1"/>
  <c r="O336" i="3"/>
  <c r="K220" i="3"/>
  <c r="M46" i="3"/>
  <c r="M44" i="3" s="1"/>
  <c r="P364" i="3"/>
  <c r="J351" i="3"/>
  <c r="I281" i="3"/>
  <c r="K281" i="3" s="1"/>
  <c r="L203" i="3"/>
  <c r="O203" i="3" s="1"/>
  <c r="P64" i="3"/>
  <c r="K292" i="1"/>
  <c r="M358" i="3"/>
  <c r="M356" i="3" s="1"/>
  <c r="J343" i="3"/>
  <c r="P308" i="3"/>
  <c r="M284" i="3"/>
  <c r="P284" i="3" s="1"/>
  <c r="O274" i="3"/>
  <c r="K109" i="3"/>
  <c r="L159" i="3"/>
  <c r="O159" i="3" s="1"/>
  <c r="K365" i="3"/>
  <c r="K368" i="3"/>
  <c r="P341" i="3"/>
  <c r="P271" i="3"/>
  <c r="N141" i="3"/>
  <c r="N139" i="3" s="1"/>
  <c r="M127" i="3"/>
  <c r="P127" i="3" s="1"/>
  <c r="M47" i="3"/>
  <c r="P336" i="3"/>
  <c r="L234" i="3"/>
  <c r="P194" i="3"/>
  <c r="N46" i="3"/>
  <c r="N44" i="3" s="1"/>
  <c r="I302" i="3"/>
  <c r="K302" i="3" s="1"/>
  <c r="L175" i="3"/>
  <c r="L173" i="3" s="1"/>
  <c r="M163" i="3"/>
  <c r="P163" i="3" s="1"/>
  <c r="I156" i="3"/>
  <c r="K156" i="3" s="1"/>
  <c r="L74" i="3"/>
  <c r="L72" i="3" s="1"/>
  <c r="N175" i="2"/>
  <c r="N173" i="2" s="1"/>
  <c r="L379" i="3"/>
  <c r="O379" i="3" s="1"/>
  <c r="J332" i="3"/>
  <c r="K332" i="3" s="1"/>
  <c r="O325" i="3"/>
  <c r="L322" i="3"/>
  <c r="O322" i="3" s="1"/>
  <c r="P311" i="3"/>
  <c r="M268" i="3"/>
  <c r="P268" i="3" s="1"/>
  <c r="L268" i="3"/>
  <c r="O268" i="3" s="1"/>
  <c r="L236" i="3"/>
  <c r="N159" i="3"/>
  <c r="N157" i="3" s="1"/>
  <c r="M145" i="3"/>
  <c r="P145" i="3" s="1"/>
  <c r="N127" i="3"/>
  <c r="N125" i="3" s="1"/>
  <c r="M128" i="3"/>
  <c r="P128" i="3" s="1"/>
  <c r="I83" i="3"/>
  <c r="I71" i="3" s="1"/>
  <c r="K71" i="3" s="1"/>
  <c r="O64" i="3"/>
  <c r="N322" i="3"/>
  <c r="N320" i="3" s="1"/>
  <c r="L235" i="3"/>
  <c r="I242" i="3"/>
  <c r="I231" i="3" s="1"/>
  <c r="K231" i="3" s="1"/>
  <c r="P191" i="3"/>
  <c r="P144" i="3"/>
  <c r="N142" i="3"/>
  <c r="P142" i="3" s="1"/>
  <c r="P102" i="3"/>
  <c r="M62" i="3"/>
  <c r="P62" i="3" s="1"/>
  <c r="N323" i="3"/>
  <c r="I202" i="3"/>
  <c r="K202" i="3" s="1"/>
  <c r="N188" i="3"/>
  <c r="N186" i="3" s="1"/>
  <c r="O80" i="3"/>
  <c r="P75" i="3"/>
  <c r="N61" i="3"/>
  <c r="N59" i="3" s="1"/>
  <c r="O49" i="3"/>
  <c r="O176" i="2"/>
  <c r="K371" i="3"/>
  <c r="K369" i="3"/>
  <c r="M188" i="3"/>
  <c r="M186" i="3" s="1"/>
  <c r="L176" i="3"/>
  <c r="O176" i="3" s="1"/>
  <c r="M96" i="3"/>
  <c r="M94" i="3" s="1"/>
  <c r="N74" i="3"/>
  <c r="N72" i="3" s="1"/>
  <c r="O385" i="3"/>
  <c r="O361" i="3"/>
  <c r="O328" i="3"/>
  <c r="M305" i="3"/>
  <c r="P305" i="3" s="1"/>
  <c r="L306" i="3"/>
  <c r="O306" i="3" s="1"/>
  <c r="N284" i="3"/>
  <c r="N282" i="3" s="1"/>
  <c r="O271" i="3"/>
  <c r="L254" i="3"/>
  <c r="O254" i="3" s="1"/>
  <c r="L222" i="3"/>
  <c r="O222" i="3" s="1"/>
  <c r="K198" i="3"/>
  <c r="O189" i="3"/>
  <c r="M175" i="3"/>
  <c r="M173" i="3" s="1"/>
  <c r="N175" i="3"/>
  <c r="I172" i="3"/>
  <c r="K172" i="3" s="1"/>
  <c r="L141" i="3"/>
  <c r="K93" i="3"/>
  <c r="O97" i="3"/>
  <c r="I82" i="3"/>
  <c r="I70" i="3" s="1"/>
  <c r="K70" i="3" s="1"/>
  <c r="N19" i="3"/>
  <c r="M19" i="3"/>
  <c r="P176" i="3"/>
  <c r="M380" i="3"/>
  <c r="P380" i="3" s="1"/>
  <c r="M359" i="3"/>
  <c r="P359" i="3" s="1"/>
  <c r="P321" i="3"/>
  <c r="L309" i="3"/>
  <c r="O309" i="3" s="1"/>
  <c r="L305" i="3"/>
  <c r="M97" i="3"/>
  <c r="P97" i="3" s="1"/>
  <c r="M179" i="3"/>
  <c r="P179" i="3" s="1"/>
  <c r="I137" i="3"/>
  <c r="K137" i="3" s="1"/>
  <c r="K152" i="3"/>
  <c r="M141" i="3"/>
  <c r="M78" i="3"/>
  <c r="P78" i="3" s="1"/>
  <c r="M74" i="3"/>
  <c r="O99" i="1"/>
  <c r="K295" i="1"/>
  <c r="N383" i="1"/>
  <c r="M159" i="2"/>
  <c r="M157" i="2" s="1"/>
  <c r="P157" i="2" s="1"/>
  <c r="K344" i="3"/>
  <c r="N335" i="3"/>
  <c r="N333" i="3" s="1"/>
  <c r="P325" i="3"/>
  <c r="N306" i="3"/>
  <c r="N305" i="3"/>
  <c r="N303" i="3" s="1"/>
  <c r="L214" i="3"/>
  <c r="O214" i="3" s="1"/>
  <c r="O191" i="3"/>
  <c r="L188" i="3"/>
  <c r="O178" i="3"/>
  <c r="L160" i="3"/>
  <c r="O160" i="3" s="1"/>
  <c r="O144" i="3"/>
  <c r="I136" i="3"/>
  <c r="K136" i="3" s="1"/>
  <c r="N100" i="3"/>
  <c r="O77" i="3"/>
  <c r="P60" i="3"/>
  <c r="N23" i="3"/>
  <c r="N47" i="3"/>
  <c r="M23" i="3"/>
  <c r="M21" i="3" s="1"/>
  <c r="L380" i="3"/>
  <c r="O380" i="3" s="1"/>
  <c r="L243" i="3"/>
  <c r="L233" i="3"/>
  <c r="I221" i="3"/>
  <c r="K221" i="3" s="1"/>
  <c r="M160" i="3"/>
  <c r="P160" i="3" s="1"/>
  <c r="M26" i="3"/>
  <c r="P26" i="3" s="1"/>
  <c r="L234" i="2"/>
  <c r="O52" i="2"/>
  <c r="P382" i="3"/>
  <c r="L362" i="3"/>
  <c r="O362" i="3" s="1"/>
  <c r="N358" i="3"/>
  <c r="N356" i="3" s="1"/>
  <c r="L339" i="3"/>
  <c r="O339" i="3" s="1"/>
  <c r="M335" i="3"/>
  <c r="O290" i="3"/>
  <c r="O194" i="3"/>
  <c r="P187" i="3"/>
  <c r="O140" i="3"/>
  <c r="O133" i="3"/>
  <c r="P99" i="3"/>
  <c r="L96" i="3"/>
  <c r="O45" i="3"/>
  <c r="L23" i="3"/>
  <c r="L21" i="3" s="1"/>
  <c r="M383" i="3"/>
  <c r="P383" i="3" s="1"/>
  <c r="O338" i="3"/>
  <c r="L335" i="3"/>
  <c r="K195" i="3"/>
  <c r="O382" i="3"/>
  <c r="P361" i="3"/>
  <c r="P338" i="3"/>
  <c r="P334" i="3"/>
  <c r="L284" i="3"/>
  <c r="O284" i="3" s="1"/>
  <c r="L285" i="3"/>
  <c r="O285" i="3" s="1"/>
  <c r="K249" i="3"/>
  <c r="O181" i="3"/>
  <c r="P178" i="3"/>
  <c r="O162" i="3"/>
  <c r="M159" i="3"/>
  <c r="L127" i="3"/>
  <c r="O127" i="3" s="1"/>
  <c r="O99" i="3"/>
  <c r="O95" i="3"/>
  <c r="K84" i="3"/>
  <c r="P19" i="3"/>
  <c r="I280" i="3"/>
  <c r="K280" i="3" s="1"/>
  <c r="O22" i="3"/>
  <c r="M358" i="1"/>
  <c r="N379" i="3"/>
  <c r="N377" i="3" s="1"/>
  <c r="L358" i="3"/>
  <c r="M288" i="3"/>
  <c r="P288" i="3" s="1"/>
  <c r="N268" i="3"/>
  <c r="N266" i="3" s="1"/>
  <c r="K153" i="3"/>
  <c r="L142" i="3"/>
  <c r="L75" i="3"/>
  <c r="O75" i="3" s="1"/>
  <c r="L19" i="3"/>
  <c r="O147" i="3"/>
  <c r="P133" i="3"/>
  <c r="O130" i="3"/>
  <c r="O102" i="3"/>
  <c r="O67" i="3"/>
  <c r="L61" i="3"/>
  <c r="P49" i="3"/>
  <c r="L46" i="3"/>
  <c r="L26" i="3"/>
  <c r="M50" i="3"/>
  <c r="P50" i="3" s="1"/>
  <c r="P77" i="3"/>
  <c r="L50" i="3"/>
  <c r="O50" i="3" s="1"/>
  <c r="N26" i="3"/>
  <c r="N24" i="3" s="1"/>
  <c r="N75" i="1"/>
  <c r="L100" i="1"/>
  <c r="O100" i="1" s="1"/>
  <c r="N142" i="1"/>
  <c r="N145" i="1"/>
  <c r="K346" i="2"/>
  <c r="O285" i="2"/>
  <c r="I253" i="2"/>
  <c r="K253" i="2" s="1"/>
  <c r="I242" i="2"/>
  <c r="K242" i="2" s="1"/>
  <c r="O160" i="2"/>
  <c r="P67" i="2"/>
  <c r="O325" i="1"/>
  <c r="M383" i="2"/>
  <c r="P383" i="2" s="1"/>
  <c r="O364" i="2"/>
  <c r="O361" i="2"/>
  <c r="K344" i="2"/>
  <c r="O271" i="2"/>
  <c r="N268" i="2"/>
  <c r="N266" i="2" s="1"/>
  <c r="O133" i="2"/>
  <c r="N127" i="2"/>
  <c r="N125" i="2" s="1"/>
  <c r="N74" i="2"/>
  <c r="N72" i="2" s="1"/>
  <c r="L214" i="1"/>
  <c r="N232" i="1"/>
  <c r="M188" i="2"/>
  <c r="M186" i="2" s="1"/>
  <c r="M268" i="2"/>
  <c r="P268" i="2" s="1"/>
  <c r="L160" i="1"/>
  <c r="L163" i="1"/>
  <c r="O163" i="1" s="1"/>
  <c r="M189" i="1"/>
  <c r="M305" i="2"/>
  <c r="M303" i="2" s="1"/>
  <c r="P303" i="2" s="1"/>
  <c r="O147" i="2"/>
  <c r="N96" i="2"/>
  <c r="N94" i="2" s="1"/>
  <c r="L203" i="2"/>
  <c r="O203" i="2" s="1"/>
  <c r="I83" i="2"/>
  <c r="K83" i="2" s="1"/>
  <c r="K371" i="2"/>
  <c r="K368" i="2"/>
  <c r="O341" i="2"/>
  <c r="L235" i="2"/>
  <c r="O181" i="2"/>
  <c r="O162" i="2"/>
  <c r="I82" i="2"/>
  <c r="K82" i="2" s="1"/>
  <c r="O77" i="2"/>
  <c r="L46" i="2"/>
  <c r="L44" i="2" s="1"/>
  <c r="L358" i="2"/>
  <c r="L356" i="2" s="1"/>
  <c r="I332" i="2"/>
  <c r="P311" i="2"/>
  <c r="N288" i="1"/>
  <c r="P325" i="2"/>
  <c r="P308" i="2"/>
  <c r="M306" i="2"/>
  <c r="P306" i="2" s="1"/>
  <c r="N284" i="2"/>
  <c r="N282" i="2" s="1"/>
  <c r="M175" i="2"/>
  <c r="M173" i="2" s="1"/>
  <c r="O130" i="2"/>
  <c r="L127" i="2"/>
  <c r="O127" i="2" s="1"/>
  <c r="L96" i="2"/>
  <c r="O96" i="2" s="1"/>
  <c r="L23" i="2"/>
  <c r="P77" i="1"/>
  <c r="K117" i="1"/>
  <c r="N128" i="1"/>
  <c r="I281" i="1"/>
  <c r="K281" i="1" s="1"/>
  <c r="M288" i="1"/>
  <c r="P288" i="1" s="1"/>
  <c r="N379" i="2"/>
  <c r="N377" i="2" s="1"/>
  <c r="K330" i="2"/>
  <c r="K209" i="2"/>
  <c r="K198" i="2"/>
  <c r="O189" i="2"/>
  <c r="O178" i="2"/>
  <c r="M160" i="2"/>
  <c r="P160" i="2" s="1"/>
  <c r="K108" i="2"/>
  <c r="O80" i="2"/>
  <c r="O67" i="2"/>
  <c r="O101" i="1"/>
  <c r="M326" i="2"/>
  <c r="P326" i="2" s="1"/>
  <c r="K314" i="2"/>
  <c r="P274" i="2"/>
  <c r="P194" i="2"/>
  <c r="M176" i="2"/>
  <c r="P176" i="2" s="1"/>
  <c r="N159" i="2"/>
  <c r="N157" i="2" s="1"/>
  <c r="N128" i="2"/>
  <c r="M75" i="1"/>
  <c r="N269" i="1"/>
  <c r="M326" i="1"/>
  <c r="P326" i="1" s="1"/>
  <c r="I365" i="2"/>
  <c r="K365" i="2" s="1"/>
  <c r="M322" i="2"/>
  <c r="M320" i="2" s="1"/>
  <c r="O308" i="2"/>
  <c r="P271" i="2"/>
  <c r="O102" i="2"/>
  <c r="K87" i="2"/>
  <c r="M75" i="2"/>
  <c r="P75" i="2" s="1"/>
  <c r="P64" i="2"/>
  <c r="L47" i="2"/>
  <c r="O47" i="2" s="1"/>
  <c r="K369" i="2"/>
  <c r="O323" i="2"/>
  <c r="L305" i="2"/>
  <c r="L303" i="2" s="1"/>
  <c r="O303" i="2" s="1"/>
  <c r="I238" i="2"/>
  <c r="K238" i="2" s="1"/>
  <c r="N232" i="2"/>
  <c r="P191" i="2"/>
  <c r="M189" i="2"/>
  <c r="P189" i="2" s="1"/>
  <c r="I136" i="2"/>
  <c r="K136" i="2" s="1"/>
  <c r="L19" i="2"/>
  <c r="N268" i="1"/>
  <c r="M336" i="1"/>
  <c r="L359" i="2"/>
  <c r="J351" i="2"/>
  <c r="N335" i="2"/>
  <c r="N333" i="2" s="1"/>
  <c r="P336" i="2"/>
  <c r="O311" i="2"/>
  <c r="K293" i="2"/>
  <c r="M269" i="2"/>
  <c r="P269" i="2" s="1"/>
  <c r="L254" i="2"/>
  <c r="O254" i="2" s="1"/>
  <c r="J231" i="2"/>
  <c r="J185" i="2" s="1"/>
  <c r="L222" i="2"/>
  <c r="O222" i="2" s="1"/>
  <c r="K220" i="2"/>
  <c r="L214" i="2"/>
  <c r="O214" i="2" s="1"/>
  <c r="O165" i="2"/>
  <c r="K153" i="2"/>
  <c r="N141" i="2"/>
  <c r="N139" i="2" s="1"/>
  <c r="P133" i="2"/>
  <c r="K109" i="2"/>
  <c r="M74" i="2"/>
  <c r="M72" i="2" s="1"/>
  <c r="P72" i="2" s="1"/>
  <c r="M61" i="2"/>
  <c r="M59" i="2" s="1"/>
  <c r="L21" i="2"/>
  <c r="M192" i="1"/>
  <c r="P192" i="1" s="1"/>
  <c r="P193" i="1"/>
  <c r="P290" i="2"/>
  <c r="M284" i="2"/>
  <c r="P267" i="2"/>
  <c r="O174" i="2"/>
  <c r="N100" i="2"/>
  <c r="P60" i="2"/>
  <c r="M47" i="1"/>
  <c r="N126" i="1"/>
  <c r="O378" i="2"/>
  <c r="N359" i="2"/>
  <c r="O336" i="2"/>
  <c r="O290" i="2"/>
  <c r="L288" i="2"/>
  <c r="O288" i="2" s="1"/>
  <c r="L233" i="2"/>
  <c r="L243" i="2"/>
  <c r="P102" i="2"/>
  <c r="M100" i="2"/>
  <c r="P100" i="2" s="1"/>
  <c r="M47" i="2"/>
  <c r="P47" i="2" s="1"/>
  <c r="P49" i="2"/>
  <c r="M23" i="2"/>
  <c r="M21" i="2" s="1"/>
  <c r="M46" i="2"/>
  <c r="N50" i="1"/>
  <c r="M65" i="1"/>
  <c r="P65" i="1" s="1"/>
  <c r="N65" i="1"/>
  <c r="P287" i="1"/>
  <c r="M380" i="2"/>
  <c r="P380" i="2" s="1"/>
  <c r="P361" i="2"/>
  <c r="M359" i="2"/>
  <c r="J332" i="2"/>
  <c r="J343" i="2"/>
  <c r="M335" i="2"/>
  <c r="P338" i="2"/>
  <c r="L326" i="2"/>
  <c r="O326" i="2" s="1"/>
  <c r="L322" i="2"/>
  <c r="O328" i="2"/>
  <c r="P323" i="2"/>
  <c r="L284" i="2"/>
  <c r="O287" i="2"/>
  <c r="I221" i="2"/>
  <c r="K221" i="2" s="1"/>
  <c r="M145" i="2"/>
  <c r="P145" i="2" s="1"/>
  <c r="M96" i="2"/>
  <c r="P99" i="2"/>
  <c r="L62" i="2"/>
  <c r="O62" i="2" s="1"/>
  <c r="M26" i="2"/>
  <c r="K293" i="1"/>
  <c r="I280" i="1"/>
  <c r="K280" i="1" s="1"/>
  <c r="P364" i="2"/>
  <c r="M362" i="2"/>
  <c r="P362" i="2" s="1"/>
  <c r="P357" i="2"/>
  <c r="P341" i="2"/>
  <c r="M339" i="2"/>
  <c r="P339" i="2" s="1"/>
  <c r="O73" i="2"/>
  <c r="O49" i="2"/>
  <c r="N23" i="2"/>
  <c r="N46" i="2"/>
  <c r="L47" i="1"/>
  <c r="J82" i="1"/>
  <c r="J70" i="1" s="1"/>
  <c r="L131" i="1"/>
  <c r="O131" i="1" s="1"/>
  <c r="N141" i="1"/>
  <c r="L284" i="1"/>
  <c r="O385" i="2"/>
  <c r="L383" i="2"/>
  <c r="O383" i="2" s="1"/>
  <c r="M379" i="2"/>
  <c r="P379" i="2" s="1"/>
  <c r="N358" i="2"/>
  <c r="O338" i="2"/>
  <c r="L335" i="2"/>
  <c r="I280" i="2"/>
  <c r="K280" i="2" s="1"/>
  <c r="L188" i="2"/>
  <c r="O194" i="2"/>
  <c r="I172" i="2"/>
  <c r="K172" i="2" s="1"/>
  <c r="O158" i="2"/>
  <c r="L97" i="2"/>
  <c r="O97" i="2" s="1"/>
  <c r="O99" i="2"/>
  <c r="O382" i="2"/>
  <c r="L380" i="2"/>
  <c r="O380" i="2" s="1"/>
  <c r="L379" i="2"/>
  <c r="O379" i="2" s="1"/>
  <c r="M358" i="2"/>
  <c r="M356" i="2" s="1"/>
  <c r="L236" i="2"/>
  <c r="K167" i="2"/>
  <c r="I168" i="2"/>
  <c r="K168" i="2" s="1"/>
  <c r="I169" i="2"/>
  <c r="K169" i="2" s="1"/>
  <c r="I137" i="2"/>
  <c r="K137" i="2" s="1"/>
  <c r="K152" i="2"/>
  <c r="M141" i="2"/>
  <c r="P144" i="2"/>
  <c r="M127" i="2"/>
  <c r="P130" i="2"/>
  <c r="O64" i="2"/>
  <c r="L61" i="2"/>
  <c r="O19" i="2"/>
  <c r="M29" i="1"/>
  <c r="P29" i="1" s="1"/>
  <c r="K90" i="1"/>
  <c r="K230" i="1"/>
  <c r="I185" i="1"/>
  <c r="K185" i="1" s="1"/>
  <c r="K344" i="1"/>
  <c r="P363" i="1"/>
  <c r="M362" i="1"/>
  <c r="P362" i="1" s="1"/>
  <c r="N339" i="2"/>
  <c r="P321" i="2"/>
  <c r="N306" i="2"/>
  <c r="N305" i="2"/>
  <c r="N303" i="2" s="1"/>
  <c r="M288" i="2"/>
  <c r="P288" i="2" s="1"/>
  <c r="P285" i="2"/>
  <c r="K195" i="2"/>
  <c r="L141" i="2"/>
  <c r="O141" i="2" s="1"/>
  <c r="O144" i="2"/>
  <c r="P144" i="1"/>
  <c r="L159" i="1"/>
  <c r="L179" i="1"/>
  <c r="O179" i="1" s="1"/>
  <c r="K172" i="1"/>
  <c r="N203" i="1"/>
  <c r="K238" i="1"/>
  <c r="K368" i="1"/>
  <c r="K371" i="1"/>
  <c r="P378" i="2"/>
  <c r="O325" i="2"/>
  <c r="N322" i="2"/>
  <c r="K292" i="2"/>
  <c r="O274" i="2"/>
  <c r="L268" i="2"/>
  <c r="O191" i="2"/>
  <c r="N188" i="2"/>
  <c r="P178" i="2"/>
  <c r="L175" i="2"/>
  <c r="L159" i="2"/>
  <c r="L74" i="2"/>
  <c r="O74" i="2" s="1"/>
  <c r="N61" i="2"/>
  <c r="N59" i="2" s="1"/>
  <c r="N26" i="2"/>
  <c r="N24" i="2" s="1"/>
  <c r="L269" i="1"/>
  <c r="O269" i="1" s="1"/>
  <c r="L272" i="1"/>
  <c r="O272" i="1" s="1"/>
  <c r="N322" i="1"/>
  <c r="M50" i="2"/>
  <c r="P50" i="2" s="1"/>
  <c r="P52" i="2"/>
  <c r="M19" i="2"/>
  <c r="P22" i="2"/>
  <c r="N285" i="1"/>
  <c r="O305" i="1"/>
  <c r="M380" i="1"/>
  <c r="P380" i="1" s="1"/>
  <c r="M179" i="2"/>
  <c r="P179" i="2" s="1"/>
  <c r="M163" i="2"/>
  <c r="P163" i="2" s="1"/>
  <c r="M78" i="2"/>
  <c r="P78" i="2" s="1"/>
  <c r="L26" i="2"/>
  <c r="O26" i="2" s="1"/>
  <c r="K296" i="1"/>
  <c r="P287" i="2"/>
  <c r="P62" i="2"/>
  <c r="N25" i="1"/>
  <c r="L50" i="1"/>
  <c r="O50" i="1" s="1"/>
  <c r="N62" i="1"/>
  <c r="L73" i="1"/>
  <c r="O73" i="1" s="1"/>
  <c r="M78" i="1"/>
  <c r="P78" i="1" s="1"/>
  <c r="I82" i="1"/>
  <c r="N97" i="1"/>
  <c r="N179" i="1"/>
  <c r="L288" i="1"/>
  <c r="O288" i="1" s="1"/>
  <c r="K315" i="1"/>
  <c r="P327" i="1"/>
  <c r="L127" i="1"/>
  <c r="O127" i="1" s="1"/>
  <c r="N23" i="1"/>
  <c r="M26" i="1"/>
  <c r="P26" i="1" s="1"/>
  <c r="O64" i="1"/>
  <c r="N73" i="1"/>
  <c r="L75" i="1"/>
  <c r="L145" i="1"/>
  <c r="O145" i="1" s="1"/>
  <c r="K136" i="1"/>
  <c r="K183" i="1"/>
  <c r="L187" i="1"/>
  <c r="O187" i="1" s="1"/>
  <c r="N214" i="1"/>
  <c r="L232" i="1"/>
  <c r="M267" i="1"/>
  <c r="P267" i="1" s="1"/>
  <c r="M339" i="1"/>
  <c r="P339" i="1" s="1"/>
  <c r="O361" i="1"/>
  <c r="L65" i="1"/>
  <c r="O65" i="1" s="1"/>
  <c r="M74" i="1"/>
  <c r="K88" i="1"/>
  <c r="L95" i="1"/>
  <c r="O95" i="1" s="1"/>
  <c r="M126" i="1"/>
  <c r="P126" i="1" s="1"/>
  <c r="O133" i="1"/>
  <c r="M175" i="1"/>
  <c r="L222" i="1"/>
  <c r="K229" i="1"/>
  <c r="L323" i="1"/>
  <c r="L326" i="1"/>
  <c r="O326" i="1" s="1"/>
  <c r="J332" i="1"/>
  <c r="M357" i="1"/>
  <c r="P357" i="1" s="1"/>
  <c r="N357" i="1"/>
  <c r="J83" i="1"/>
  <c r="J71" i="1" s="1"/>
  <c r="L97" i="1"/>
  <c r="N176" i="1"/>
  <c r="M179" i="1"/>
  <c r="P179" i="1" s="1"/>
  <c r="N222" i="1"/>
  <c r="N326" i="1"/>
  <c r="L25" i="1"/>
  <c r="O25" i="1" s="1"/>
  <c r="M22" i="1"/>
  <c r="P22" i="1" s="1"/>
  <c r="L141" i="1"/>
  <c r="K152" i="1"/>
  <c r="N159" i="1"/>
  <c r="K219" i="1"/>
  <c r="M269" i="1"/>
  <c r="P269" i="1" s="1"/>
  <c r="N303" i="1"/>
  <c r="N309" i="1"/>
  <c r="N323" i="1"/>
  <c r="L336" i="1"/>
  <c r="L362" i="1"/>
  <c r="O362" i="1" s="1"/>
  <c r="L379" i="1"/>
  <c r="O379" i="1" s="1"/>
  <c r="M50" i="1"/>
  <c r="P50" i="1" s="1"/>
  <c r="K319" i="1"/>
  <c r="M60" i="1"/>
  <c r="P60" i="1" s="1"/>
  <c r="N53" i="1"/>
  <c r="L61" i="1"/>
  <c r="M23" i="1"/>
  <c r="N78" i="1"/>
  <c r="I83" i="1"/>
  <c r="I71" i="1" s="1"/>
  <c r="K89" i="1"/>
  <c r="N95" i="1"/>
  <c r="K109" i="1"/>
  <c r="N131" i="1"/>
  <c r="L142" i="1"/>
  <c r="K150" i="1"/>
  <c r="O162" i="1"/>
  <c r="M163" i="1"/>
  <c r="P163" i="1" s="1"/>
  <c r="N163" i="1"/>
  <c r="O196" i="1"/>
  <c r="I221" i="1"/>
  <c r="K221" i="1" s="1"/>
  <c r="N267" i="1"/>
  <c r="P270" i="1"/>
  <c r="N283" i="1"/>
  <c r="N306" i="1"/>
  <c r="P308" i="1"/>
  <c r="N335" i="1"/>
  <c r="J343" i="1"/>
  <c r="M359" i="1"/>
  <c r="P361" i="1"/>
  <c r="K369" i="1"/>
  <c r="M379" i="1"/>
  <c r="P379" i="1" s="1"/>
  <c r="N47" i="1"/>
  <c r="L22" i="1"/>
  <c r="O22" i="1" s="1"/>
  <c r="M45" i="1"/>
  <c r="P45" i="1" s="1"/>
  <c r="P48" i="1"/>
  <c r="N26" i="1"/>
  <c r="P54" i="1"/>
  <c r="N74" i="1"/>
  <c r="P79" i="1"/>
  <c r="L96" i="1"/>
  <c r="M100" i="1"/>
  <c r="P100" i="1" s="1"/>
  <c r="M140" i="1"/>
  <c r="P140" i="1" s="1"/>
  <c r="O144" i="1"/>
  <c r="M145" i="1"/>
  <c r="P145" i="1" s="1"/>
  <c r="L203" i="1"/>
  <c r="K209" i="1"/>
  <c r="L268" i="1"/>
  <c r="O268" i="1" s="1"/>
  <c r="K316" i="1"/>
  <c r="L322" i="1"/>
  <c r="L357" i="1"/>
  <c r="O357" i="1" s="1"/>
  <c r="O164" i="1"/>
  <c r="O180" i="1"/>
  <c r="P181" i="1"/>
  <c r="N272" i="1"/>
  <c r="O289" i="1"/>
  <c r="P290" i="1"/>
  <c r="O381" i="1"/>
  <c r="L378" i="1"/>
  <c r="N140" i="1"/>
  <c r="M53" i="1"/>
  <c r="P53" i="1" s="1"/>
  <c r="N127" i="1"/>
  <c r="M141" i="1"/>
  <c r="M176" i="1"/>
  <c r="L309" i="1"/>
  <c r="O309" i="1" s="1"/>
  <c r="M309" i="1"/>
  <c r="P309" i="1" s="1"/>
  <c r="K302" i="1"/>
  <c r="K317" i="1"/>
  <c r="P338" i="1"/>
  <c r="L358" i="1"/>
  <c r="K84" i="1"/>
  <c r="M142" i="1"/>
  <c r="K137" i="1"/>
  <c r="N160" i="1"/>
  <c r="P191" i="1"/>
  <c r="N192" i="1"/>
  <c r="K213" i="1"/>
  <c r="O271" i="1"/>
  <c r="K330" i="1"/>
  <c r="M334" i="1"/>
  <c r="P334" i="1" s="1"/>
  <c r="O338" i="1"/>
  <c r="K346" i="1"/>
  <c r="J351" i="1"/>
  <c r="I365" i="1"/>
  <c r="K365" i="1" s="1"/>
  <c r="M378" i="1"/>
  <c r="P378" i="1" s="1"/>
  <c r="O384" i="1"/>
  <c r="L383" i="1"/>
  <c r="O383" i="1" s="1"/>
  <c r="N380" i="1"/>
  <c r="P99" i="1"/>
  <c r="M96" i="1"/>
  <c r="L27" i="1"/>
  <c r="O27" i="1" s="1"/>
  <c r="L46" i="1"/>
  <c r="O63" i="1"/>
  <c r="L60" i="1"/>
  <c r="L62" i="1"/>
  <c r="N96" i="1"/>
  <c r="N100" i="1"/>
  <c r="M127" i="1"/>
  <c r="P127" i="1" s="1"/>
  <c r="M128" i="1"/>
  <c r="P128" i="1" s="1"/>
  <c r="K167" i="1"/>
  <c r="I168" i="1"/>
  <c r="N188" i="1"/>
  <c r="P188" i="1" s="1"/>
  <c r="N189" i="1"/>
  <c r="O191" i="1"/>
  <c r="L306" i="1"/>
  <c r="O308" i="1"/>
  <c r="P325" i="1"/>
  <c r="M322" i="1"/>
  <c r="M323" i="1"/>
  <c r="N22" i="1"/>
  <c r="L26" i="1"/>
  <c r="O26" i="1" s="1"/>
  <c r="N28" i="1"/>
  <c r="N27" i="1" s="1"/>
  <c r="L45" i="1"/>
  <c r="N46" i="1"/>
  <c r="P49" i="1"/>
  <c r="M46" i="1"/>
  <c r="O67" i="1"/>
  <c r="L74" i="1"/>
  <c r="J93" i="1"/>
  <c r="K93" i="1" s="1"/>
  <c r="M95" i="1"/>
  <c r="O190" i="1"/>
  <c r="L189" i="1"/>
  <c r="L188" i="1"/>
  <c r="O194" i="1"/>
  <c r="L285" i="1"/>
  <c r="O287" i="1"/>
  <c r="L128" i="1"/>
  <c r="O128" i="1" s="1"/>
  <c r="L126" i="1"/>
  <c r="O54" i="1"/>
  <c r="L53" i="1"/>
  <c r="O53" i="1" s="1"/>
  <c r="O79" i="1"/>
  <c r="L78" i="1"/>
  <c r="O78" i="1" s="1"/>
  <c r="P101" i="1"/>
  <c r="K108" i="1"/>
  <c r="I92" i="1"/>
  <c r="K92" i="1" s="1"/>
  <c r="P130" i="1"/>
  <c r="K198" i="1"/>
  <c r="P64" i="1"/>
  <c r="M61" i="1"/>
  <c r="P162" i="1"/>
  <c r="M159" i="1"/>
  <c r="P159" i="1" s="1"/>
  <c r="M160" i="1"/>
  <c r="P160" i="1" s="1"/>
  <c r="N61" i="1"/>
  <c r="M25" i="1"/>
  <c r="N45" i="1"/>
  <c r="O49" i="1"/>
  <c r="O52" i="1"/>
  <c r="O55" i="1"/>
  <c r="N60" i="1"/>
  <c r="M62" i="1"/>
  <c r="P76" i="1"/>
  <c r="M73" i="1"/>
  <c r="O77" i="1"/>
  <c r="O129" i="1"/>
  <c r="M272" i="1"/>
  <c r="P272" i="1" s="1"/>
  <c r="P274" i="1"/>
  <c r="M268" i="1"/>
  <c r="N334" i="1"/>
  <c r="N336" i="1"/>
  <c r="P132" i="1"/>
  <c r="M131" i="1"/>
  <c r="P131" i="1" s="1"/>
  <c r="L23" i="1"/>
  <c r="M97" i="1"/>
  <c r="K195" i="1"/>
  <c r="K228" i="1"/>
  <c r="O340" i="1"/>
  <c r="L334" i="1"/>
  <c r="L339" i="1"/>
  <c r="O339" i="1" s="1"/>
  <c r="K153" i="1"/>
  <c r="I138" i="1"/>
  <c r="K138" i="1" s="1"/>
  <c r="M158" i="1"/>
  <c r="O161" i="1"/>
  <c r="L158" i="1"/>
  <c r="L174" i="1"/>
  <c r="N175" i="1"/>
  <c r="O178" i="1"/>
  <c r="L175" i="1"/>
  <c r="N187" i="1"/>
  <c r="P190" i="1"/>
  <c r="M187" i="1"/>
  <c r="L192" i="1"/>
  <c r="O192" i="1" s="1"/>
  <c r="K220" i="1"/>
  <c r="M284" i="1"/>
  <c r="M305" i="1"/>
  <c r="P305" i="1" s="1"/>
  <c r="M321" i="1"/>
  <c r="O324" i="1"/>
  <c r="L321" i="1"/>
  <c r="L335" i="1"/>
  <c r="L380" i="1"/>
  <c r="O380" i="1" s="1"/>
  <c r="O143" i="1"/>
  <c r="K151" i="1"/>
  <c r="N158" i="1"/>
  <c r="M174" i="1"/>
  <c r="J199" i="1"/>
  <c r="O270" i="1"/>
  <c r="L283" i="1"/>
  <c r="L304" i="1"/>
  <c r="K314" i="1"/>
  <c r="N321" i="1"/>
  <c r="I332" i="1"/>
  <c r="M335" i="1"/>
  <c r="P337" i="1"/>
  <c r="N339" i="1"/>
  <c r="N358" i="1"/>
  <c r="P381" i="1"/>
  <c r="P286" i="1"/>
  <c r="M283" i="1"/>
  <c r="P307" i="1"/>
  <c r="M304" i="1"/>
  <c r="L140" i="1"/>
  <c r="O165" i="1"/>
  <c r="L176" i="1"/>
  <c r="P178" i="1"/>
  <c r="O193" i="1"/>
  <c r="I202" i="1"/>
  <c r="K202" i="1" s="1"/>
  <c r="L267" i="1"/>
  <c r="L359" i="1"/>
  <c r="N359" i="1"/>
  <c r="P384" i="1"/>
  <c r="M383" i="1"/>
  <c r="P383" i="1" s="1"/>
  <c r="K154" i="1"/>
  <c r="M285" i="1"/>
  <c r="M306" i="1"/>
  <c r="N362" i="1"/>
  <c r="O336" i="21" l="1"/>
  <c r="M303" i="21"/>
  <c r="P303" i="21" s="1"/>
  <c r="O173" i="21"/>
  <c r="P358" i="21"/>
  <c r="L72" i="21"/>
  <c r="O72" i="21" s="1"/>
  <c r="K83" i="21"/>
  <c r="L125" i="20"/>
  <c r="O125" i="20" s="1"/>
  <c r="O96" i="21"/>
  <c r="M377" i="21"/>
  <c r="P377" i="21" s="1"/>
  <c r="L266" i="21"/>
  <c r="O266" i="21" s="1"/>
  <c r="P61" i="19"/>
  <c r="M320" i="20"/>
  <c r="P320" i="20" s="1"/>
  <c r="K83" i="20"/>
  <c r="O175" i="21"/>
  <c r="M282" i="21"/>
  <c r="P282" i="21" s="1"/>
  <c r="P141" i="21"/>
  <c r="O46" i="21"/>
  <c r="O335" i="21"/>
  <c r="O141" i="21"/>
  <c r="O358" i="21"/>
  <c r="O356" i="21"/>
  <c r="O175" i="20"/>
  <c r="M94" i="21"/>
  <c r="P94" i="21" s="1"/>
  <c r="O186" i="21"/>
  <c r="P46" i="21"/>
  <c r="P47" i="21"/>
  <c r="L157" i="21"/>
  <c r="O157" i="21" s="1"/>
  <c r="M125" i="21"/>
  <c r="P125" i="21" s="1"/>
  <c r="M157" i="21"/>
  <c r="P157" i="21" s="1"/>
  <c r="O335" i="20"/>
  <c r="P188" i="21"/>
  <c r="M72" i="21"/>
  <c r="P72" i="21" s="1"/>
  <c r="L24" i="21"/>
  <c r="O24" i="21" s="1"/>
  <c r="P335" i="21"/>
  <c r="O189" i="21"/>
  <c r="M266" i="21"/>
  <c r="P266" i="21" s="1"/>
  <c r="O139" i="21"/>
  <c r="P61" i="21"/>
  <c r="M44" i="21"/>
  <c r="P44" i="21" s="1"/>
  <c r="O188" i="21"/>
  <c r="N20" i="21"/>
  <c r="N18" i="21" s="1"/>
  <c r="O61" i="21"/>
  <c r="O59" i="21"/>
  <c r="O159" i="20"/>
  <c r="L232" i="21"/>
  <c r="P188" i="20"/>
  <c r="M356" i="21"/>
  <c r="P356" i="21" s="1"/>
  <c r="N21" i="21"/>
  <c r="O21" i="21" s="1"/>
  <c r="O44" i="21"/>
  <c r="N40" i="21"/>
  <c r="P175" i="21"/>
  <c r="O23" i="21"/>
  <c r="L20" i="21"/>
  <c r="P173" i="21"/>
  <c r="O379" i="21"/>
  <c r="L377" i="21"/>
  <c r="O377" i="21" s="1"/>
  <c r="L320" i="21"/>
  <c r="O320" i="21" s="1"/>
  <c r="I70" i="21"/>
  <c r="K70" i="21" s="1"/>
  <c r="K82" i="21"/>
  <c r="L282" i="21"/>
  <c r="O282" i="21" s="1"/>
  <c r="O284" i="21"/>
  <c r="M186" i="21"/>
  <c r="P186" i="21" s="1"/>
  <c r="M139" i="21"/>
  <c r="P139" i="21" s="1"/>
  <c r="M24" i="21"/>
  <c r="P24" i="21" s="1"/>
  <c r="P26" i="21"/>
  <c r="P322" i="21"/>
  <c r="M320" i="21"/>
  <c r="P320" i="21" s="1"/>
  <c r="O305" i="21"/>
  <c r="L303" i="21"/>
  <c r="O303" i="21" s="1"/>
  <c r="M20" i="21"/>
  <c r="P23" i="21"/>
  <c r="M21" i="21"/>
  <c r="P336" i="21"/>
  <c r="O333" i="21"/>
  <c r="M333" i="21"/>
  <c r="P333" i="21" s="1"/>
  <c r="K242" i="21"/>
  <c r="I231" i="21"/>
  <c r="M59" i="21"/>
  <c r="P59" i="21" s="1"/>
  <c r="O127" i="21"/>
  <c r="L125" i="21"/>
  <c r="O125" i="21" s="1"/>
  <c r="N20" i="20"/>
  <c r="N18" i="20" s="1"/>
  <c r="P175" i="19"/>
  <c r="P26" i="19"/>
  <c r="L94" i="20"/>
  <c r="O94" i="20" s="1"/>
  <c r="P335" i="20"/>
  <c r="O186" i="20"/>
  <c r="N21" i="20"/>
  <c r="O188" i="20"/>
  <c r="P305" i="20"/>
  <c r="O173" i="19"/>
  <c r="M24" i="20"/>
  <c r="P24" i="20" s="1"/>
  <c r="O379" i="20"/>
  <c r="O358" i="20"/>
  <c r="O47" i="20"/>
  <c r="O46" i="20"/>
  <c r="M139" i="18"/>
  <c r="P139" i="18" s="1"/>
  <c r="L139" i="20"/>
  <c r="O139" i="20" s="1"/>
  <c r="M94" i="20"/>
  <c r="P94" i="20" s="1"/>
  <c r="L44" i="20"/>
  <c r="O44" i="20" s="1"/>
  <c r="L173" i="20"/>
  <c r="O173" i="20" s="1"/>
  <c r="N333" i="20"/>
  <c r="O333" i="20" s="1"/>
  <c r="M139" i="20"/>
  <c r="P139" i="20" s="1"/>
  <c r="O61" i="20"/>
  <c r="L157" i="20"/>
  <c r="O157" i="20" s="1"/>
  <c r="P61" i="20"/>
  <c r="L282" i="20"/>
  <c r="O282" i="20" s="1"/>
  <c r="O74" i="20"/>
  <c r="M59" i="20"/>
  <c r="P59" i="20" s="1"/>
  <c r="O305" i="20"/>
  <c r="L320" i="20"/>
  <c r="O320" i="20" s="1"/>
  <c r="N72" i="20"/>
  <c r="P336" i="19"/>
  <c r="P335" i="19"/>
  <c r="L24" i="20"/>
  <c r="O24" i="20" s="1"/>
  <c r="P46" i="20"/>
  <c r="M44" i="20"/>
  <c r="P284" i="20"/>
  <c r="M282" i="20"/>
  <c r="P282" i="20" s="1"/>
  <c r="L303" i="20"/>
  <c r="O303" i="20" s="1"/>
  <c r="L59" i="20"/>
  <c r="O59" i="20" s="1"/>
  <c r="O356" i="20"/>
  <c r="L320" i="18"/>
  <c r="O320" i="18" s="1"/>
  <c r="M72" i="20"/>
  <c r="P74" i="20"/>
  <c r="M303" i="20"/>
  <c r="P303" i="20" s="1"/>
  <c r="M186" i="20"/>
  <c r="P186" i="20" s="1"/>
  <c r="M377" i="20"/>
  <c r="P377" i="20" s="1"/>
  <c r="L266" i="20"/>
  <c r="O266" i="20" s="1"/>
  <c r="I231" i="20"/>
  <c r="M333" i="20"/>
  <c r="O23" i="20"/>
  <c r="L21" i="20"/>
  <c r="L20" i="20"/>
  <c r="M173" i="20"/>
  <c r="P173" i="20" s="1"/>
  <c r="P175" i="20"/>
  <c r="M20" i="20"/>
  <c r="P23" i="20"/>
  <c r="M21" i="20"/>
  <c r="L232" i="20"/>
  <c r="O243" i="20"/>
  <c r="P19" i="20"/>
  <c r="K82" i="20"/>
  <c r="I70" i="20"/>
  <c r="K70" i="20" s="1"/>
  <c r="P358" i="20"/>
  <c r="P159" i="20"/>
  <c r="M157" i="20"/>
  <c r="P157" i="20" s="1"/>
  <c r="P356" i="20"/>
  <c r="P62" i="19"/>
  <c r="P333" i="19"/>
  <c r="M125" i="20"/>
  <c r="P125" i="20" s="1"/>
  <c r="P96" i="18"/>
  <c r="L303" i="18"/>
  <c r="O303" i="18" s="1"/>
  <c r="L157" i="19"/>
  <c r="O157" i="19" s="1"/>
  <c r="O175" i="19"/>
  <c r="M282" i="19"/>
  <c r="P282" i="19" s="1"/>
  <c r="P173" i="17"/>
  <c r="O335" i="19"/>
  <c r="O96" i="19"/>
  <c r="O94" i="19"/>
  <c r="P94" i="19"/>
  <c r="P175" i="18"/>
  <c r="O61" i="19"/>
  <c r="P188" i="19"/>
  <c r="P96" i="19"/>
  <c r="K332" i="19"/>
  <c r="O356" i="19"/>
  <c r="M125" i="18"/>
  <c r="P125" i="18" s="1"/>
  <c r="M173" i="19"/>
  <c r="P173" i="19" s="1"/>
  <c r="I231" i="19"/>
  <c r="K231" i="19" s="1"/>
  <c r="O335" i="18"/>
  <c r="O358" i="18"/>
  <c r="L377" i="19"/>
  <c r="O377" i="19" s="1"/>
  <c r="I231" i="17"/>
  <c r="K231" i="17" s="1"/>
  <c r="O336" i="18"/>
  <c r="P379" i="18"/>
  <c r="M320" i="19"/>
  <c r="P320" i="19" s="1"/>
  <c r="M94" i="17"/>
  <c r="P94" i="17" s="1"/>
  <c r="L24" i="19"/>
  <c r="O24" i="19" s="1"/>
  <c r="I71" i="19"/>
  <c r="K71" i="19" s="1"/>
  <c r="K83" i="19"/>
  <c r="L266" i="19"/>
  <c r="O266" i="19" s="1"/>
  <c r="P356" i="19"/>
  <c r="L94" i="17"/>
  <c r="O94" i="17" s="1"/>
  <c r="L232" i="18"/>
  <c r="N40" i="19"/>
  <c r="M157" i="19"/>
  <c r="P157" i="19" s="1"/>
  <c r="L72" i="19"/>
  <c r="O72" i="19" s="1"/>
  <c r="M303" i="19"/>
  <c r="P303" i="19" s="1"/>
  <c r="O284" i="19"/>
  <c r="L282" i="19"/>
  <c r="O282" i="19" s="1"/>
  <c r="L303" i="19"/>
  <c r="O303" i="19" s="1"/>
  <c r="P44" i="19"/>
  <c r="O62" i="17"/>
  <c r="P336" i="18"/>
  <c r="O21" i="19"/>
  <c r="M186" i="19"/>
  <c r="P186" i="19" s="1"/>
  <c r="L320" i="19"/>
  <c r="O320" i="19" s="1"/>
  <c r="O322" i="19"/>
  <c r="M59" i="19"/>
  <c r="P59" i="19" s="1"/>
  <c r="P189" i="19"/>
  <c r="L232" i="19"/>
  <c r="P176" i="19"/>
  <c r="N20" i="19"/>
  <c r="N18" i="19" s="1"/>
  <c r="O188" i="19"/>
  <c r="L186" i="19"/>
  <c r="O186" i="19" s="1"/>
  <c r="P379" i="19"/>
  <c r="M377" i="19"/>
  <c r="P377" i="19" s="1"/>
  <c r="M72" i="19"/>
  <c r="P72" i="19" s="1"/>
  <c r="L266" i="18"/>
  <c r="O266" i="18" s="1"/>
  <c r="M303" i="18"/>
  <c r="P303" i="18" s="1"/>
  <c r="P356" i="18"/>
  <c r="L377" i="18"/>
  <c r="O377" i="18" s="1"/>
  <c r="O23" i="19"/>
  <c r="L20" i="19"/>
  <c r="K82" i="19"/>
  <c r="I70" i="19"/>
  <c r="K70" i="19" s="1"/>
  <c r="M139" i="19"/>
  <c r="P139" i="19" s="1"/>
  <c r="L333" i="19"/>
  <c r="O333" i="19" s="1"/>
  <c r="O97" i="19"/>
  <c r="P97" i="19"/>
  <c r="O358" i="19"/>
  <c r="P188" i="18"/>
  <c r="P46" i="19"/>
  <c r="M125" i="19"/>
  <c r="P125" i="19" s="1"/>
  <c r="O46" i="19"/>
  <c r="L59" i="19"/>
  <c r="O59" i="19" s="1"/>
  <c r="O127" i="19"/>
  <c r="L125" i="19"/>
  <c r="O125" i="19" s="1"/>
  <c r="M266" i="19"/>
  <c r="P266" i="19" s="1"/>
  <c r="P358" i="19"/>
  <c r="M20" i="19"/>
  <c r="P23" i="19"/>
  <c r="M21" i="19"/>
  <c r="P21" i="19" s="1"/>
  <c r="O44" i="19"/>
  <c r="O141" i="19"/>
  <c r="L139" i="19"/>
  <c r="O139" i="19" s="1"/>
  <c r="O356" i="15"/>
  <c r="M320" i="16"/>
  <c r="P320" i="16" s="1"/>
  <c r="O335" i="17"/>
  <c r="M157" i="17"/>
  <c r="P157" i="17" s="1"/>
  <c r="O61" i="18"/>
  <c r="P335" i="18"/>
  <c r="M377" i="17"/>
  <c r="P377" i="17" s="1"/>
  <c r="P186" i="18"/>
  <c r="M266" i="18"/>
  <c r="P266" i="18" s="1"/>
  <c r="O188" i="18"/>
  <c r="N20" i="18"/>
  <c r="N18" i="18" s="1"/>
  <c r="O243" i="18"/>
  <c r="P333" i="18"/>
  <c r="L139" i="16"/>
  <c r="O139" i="16" s="1"/>
  <c r="P335" i="16"/>
  <c r="L94" i="18"/>
  <c r="O94" i="18" s="1"/>
  <c r="M173" i="18"/>
  <c r="P173" i="18" s="1"/>
  <c r="M320" i="18"/>
  <c r="P320" i="18" s="1"/>
  <c r="O359" i="18"/>
  <c r="K83" i="18"/>
  <c r="P358" i="18"/>
  <c r="O186" i="18"/>
  <c r="I70" i="17"/>
  <c r="K70" i="17" s="1"/>
  <c r="P46" i="18"/>
  <c r="O175" i="18"/>
  <c r="L173" i="18"/>
  <c r="O173" i="18" s="1"/>
  <c r="M320" i="15"/>
  <c r="P320" i="15" s="1"/>
  <c r="L320" i="15"/>
  <c r="O320" i="15" s="1"/>
  <c r="O358" i="16"/>
  <c r="P336" i="17"/>
  <c r="M44" i="18"/>
  <c r="I70" i="18"/>
  <c r="K70" i="18" s="1"/>
  <c r="K82" i="18"/>
  <c r="I231" i="18"/>
  <c r="M59" i="18"/>
  <c r="P59" i="18" s="1"/>
  <c r="P61" i="18"/>
  <c r="O141" i="18"/>
  <c r="L139" i="18"/>
  <c r="O139" i="18" s="1"/>
  <c r="M20" i="18"/>
  <c r="P23" i="18"/>
  <c r="M21" i="18"/>
  <c r="L44" i="18"/>
  <c r="O46" i="18"/>
  <c r="N40" i="18"/>
  <c r="P74" i="18"/>
  <c r="L356" i="18"/>
  <c r="O356" i="18" s="1"/>
  <c r="P46" i="9"/>
  <c r="O127" i="17"/>
  <c r="L20" i="18"/>
  <c r="O23" i="18"/>
  <c r="L21" i="18"/>
  <c r="O127" i="18"/>
  <c r="L125" i="18"/>
  <c r="O125" i="18" s="1"/>
  <c r="O303" i="15"/>
  <c r="M24" i="18"/>
  <c r="P24" i="18" s="1"/>
  <c r="N21" i="18"/>
  <c r="O59" i="18"/>
  <c r="O74" i="18"/>
  <c r="L72" i="18"/>
  <c r="O72" i="18" s="1"/>
  <c r="O159" i="18"/>
  <c r="L157" i="18"/>
  <c r="O157" i="18" s="1"/>
  <c r="O284" i="18"/>
  <c r="L282" i="18"/>
  <c r="O282" i="18" s="1"/>
  <c r="L24" i="18"/>
  <c r="O24" i="18" s="1"/>
  <c r="O26" i="18"/>
  <c r="M157" i="18"/>
  <c r="P157" i="18" s="1"/>
  <c r="M282" i="18"/>
  <c r="P282" i="18" s="1"/>
  <c r="M72" i="18"/>
  <c r="P72" i="18" s="1"/>
  <c r="L333" i="18"/>
  <c r="O333" i="18" s="1"/>
  <c r="P159" i="16"/>
  <c r="O358" i="17"/>
  <c r="O186" i="17"/>
  <c r="L320" i="17"/>
  <c r="O320" i="17" s="1"/>
  <c r="M125" i="14"/>
  <c r="P125" i="14" s="1"/>
  <c r="P188" i="17"/>
  <c r="M303" i="17"/>
  <c r="P303" i="17" s="1"/>
  <c r="P139" i="17"/>
  <c r="O59" i="17"/>
  <c r="M125" i="17"/>
  <c r="P125" i="17" s="1"/>
  <c r="M266" i="15"/>
  <c r="P266" i="15" s="1"/>
  <c r="P189" i="17"/>
  <c r="O159" i="17"/>
  <c r="L157" i="17"/>
  <c r="O157" i="17" s="1"/>
  <c r="P46" i="17"/>
  <c r="P61" i="17"/>
  <c r="P62" i="17"/>
  <c r="P141" i="17"/>
  <c r="P303" i="16"/>
  <c r="L303" i="17"/>
  <c r="O303" i="17" s="1"/>
  <c r="O305" i="17"/>
  <c r="O188" i="17"/>
  <c r="O175" i="17"/>
  <c r="O268" i="17"/>
  <c r="L266" i="17"/>
  <c r="O266" i="17" s="1"/>
  <c r="M266" i="16"/>
  <c r="P266" i="16" s="1"/>
  <c r="L173" i="17"/>
  <c r="O173" i="17" s="1"/>
  <c r="L24" i="17"/>
  <c r="O24" i="17" s="1"/>
  <c r="M282" i="17"/>
  <c r="P282" i="17" s="1"/>
  <c r="P175" i="17"/>
  <c r="L72" i="17"/>
  <c r="O72" i="17" s="1"/>
  <c r="P322" i="17"/>
  <c r="M320" i="17"/>
  <c r="P320" i="17" s="1"/>
  <c r="O44" i="17"/>
  <c r="O335" i="16"/>
  <c r="O61" i="17"/>
  <c r="P335" i="17"/>
  <c r="M333" i="17"/>
  <c r="P333" i="17" s="1"/>
  <c r="M59" i="17"/>
  <c r="P59" i="17" s="1"/>
  <c r="O305" i="16"/>
  <c r="M333" i="16"/>
  <c r="P333" i="16" s="1"/>
  <c r="M21" i="17"/>
  <c r="M20" i="17"/>
  <c r="P23" i="17"/>
  <c r="P358" i="17"/>
  <c r="M356" i="17"/>
  <c r="P356" i="17" s="1"/>
  <c r="M72" i="17"/>
  <c r="P72" i="17" s="1"/>
  <c r="M44" i="17"/>
  <c r="M186" i="17"/>
  <c r="P186" i="17" s="1"/>
  <c r="N20" i="17"/>
  <c r="N18" i="17" s="1"/>
  <c r="N21" i="17"/>
  <c r="O21" i="17" s="1"/>
  <c r="L20" i="17"/>
  <c r="O23" i="17"/>
  <c r="L72" i="16"/>
  <c r="O72" i="16" s="1"/>
  <c r="P175" i="16"/>
  <c r="N40" i="17"/>
  <c r="M24" i="17"/>
  <c r="P24" i="17" s="1"/>
  <c r="P26" i="17"/>
  <c r="O284" i="17"/>
  <c r="L282" i="17"/>
  <c r="O282" i="17" s="1"/>
  <c r="O379" i="17"/>
  <c r="L377" i="17"/>
  <c r="O377" i="17" s="1"/>
  <c r="O46" i="17"/>
  <c r="L333" i="17"/>
  <c r="O333" i="17" s="1"/>
  <c r="L232" i="17"/>
  <c r="O243" i="17"/>
  <c r="L139" i="17"/>
  <c r="O139" i="17" s="1"/>
  <c r="O141" i="17"/>
  <c r="M266" i="17"/>
  <c r="P266" i="17" s="1"/>
  <c r="P268" i="17"/>
  <c r="L356" i="17"/>
  <c r="O356" i="17" s="1"/>
  <c r="O333" i="16"/>
  <c r="K83" i="17"/>
  <c r="I71" i="17"/>
  <c r="K71" i="17" s="1"/>
  <c r="O46" i="16"/>
  <c r="O175" i="16"/>
  <c r="M94" i="16"/>
  <c r="P94" i="16" s="1"/>
  <c r="O284" i="16"/>
  <c r="O303" i="16"/>
  <c r="P379" i="15"/>
  <c r="M72" i="16"/>
  <c r="P72" i="16" s="1"/>
  <c r="M125" i="16"/>
  <c r="P125" i="16" s="1"/>
  <c r="P305" i="16"/>
  <c r="O333" i="15"/>
  <c r="L157" i="16"/>
  <c r="O157" i="16" s="1"/>
  <c r="O305" i="12"/>
  <c r="O268" i="13"/>
  <c r="K332" i="13"/>
  <c r="M125" i="13"/>
  <c r="P125" i="13" s="1"/>
  <c r="O157" i="15"/>
  <c r="P59" i="15"/>
  <c r="L282" i="16"/>
  <c r="O282" i="16" s="1"/>
  <c r="O268" i="16"/>
  <c r="K332" i="16"/>
  <c r="M303" i="14"/>
  <c r="P303" i="14" s="1"/>
  <c r="L24" i="15"/>
  <c r="O24" i="15" s="1"/>
  <c r="O74" i="13"/>
  <c r="P96" i="15"/>
  <c r="O243" i="16"/>
  <c r="L232" i="16"/>
  <c r="N186" i="16"/>
  <c r="P186" i="16" s="1"/>
  <c r="P188" i="16"/>
  <c r="N356" i="16"/>
  <c r="L157" i="14"/>
  <c r="O157" i="14" s="1"/>
  <c r="O175" i="15"/>
  <c r="N20" i="16"/>
  <c r="N18" i="16" s="1"/>
  <c r="N21" i="16"/>
  <c r="P21" i="16" s="1"/>
  <c r="L125" i="16"/>
  <c r="O125" i="16" s="1"/>
  <c r="P284" i="16"/>
  <c r="M282" i="16"/>
  <c r="P282" i="16" s="1"/>
  <c r="P46" i="16"/>
  <c r="I70" i="16"/>
  <c r="K70" i="16" s="1"/>
  <c r="K82" i="16"/>
  <c r="P59" i="16"/>
  <c r="O336" i="16"/>
  <c r="P173" i="16"/>
  <c r="P61" i="16"/>
  <c r="M377" i="16"/>
  <c r="P377" i="16" s="1"/>
  <c r="O21" i="16"/>
  <c r="O61" i="16"/>
  <c r="L59" i="16"/>
  <c r="O59" i="16" s="1"/>
  <c r="P44" i="16"/>
  <c r="L24" i="16"/>
  <c r="O24" i="16" s="1"/>
  <c r="L20" i="16"/>
  <c r="L18" i="16" s="1"/>
  <c r="O18" i="16" s="1"/>
  <c r="O23" i="16"/>
  <c r="O44" i="16"/>
  <c r="O19" i="16"/>
  <c r="P358" i="16"/>
  <c r="M356" i="16"/>
  <c r="M24" i="16"/>
  <c r="P24" i="16" s="1"/>
  <c r="P26" i="16"/>
  <c r="P141" i="16"/>
  <c r="M139" i="16"/>
  <c r="P139" i="16" s="1"/>
  <c r="O322" i="16"/>
  <c r="L320" i="16"/>
  <c r="O320" i="16" s="1"/>
  <c r="O173" i="16"/>
  <c r="O379" i="16"/>
  <c r="L377" i="16"/>
  <c r="O377" i="16" s="1"/>
  <c r="O188" i="16"/>
  <c r="P26" i="15"/>
  <c r="O305" i="15"/>
  <c r="M20" i="16"/>
  <c r="P23" i="16"/>
  <c r="L94" i="16"/>
  <c r="O94" i="16" s="1"/>
  <c r="O96" i="16"/>
  <c r="K83" i="16"/>
  <c r="I71" i="16"/>
  <c r="K71" i="16" s="1"/>
  <c r="I185" i="16"/>
  <c r="K185" i="16" s="1"/>
  <c r="K231" i="16"/>
  <c r="P336" i="16"/>
  <c r="O141" i="15"/>
  <c r="P305" i="15"/>
  <c r="P356" i="15"/>
  <c r="L377" i="15"/>
  <c r="O377" i="15" s="1"/>
  <c r="O175" i="13"/>
  <c r="P61" i="15"/>
  <c r="L377" i="14"/>
  <c r="O377" i="14" s="1"/>
  <c r="M125" i="15"/>
  <c r="P125" i="15" s="1"/>
  <c r="O284" i="15"/>
  <c r="O159" i="15"/>
  <c r="P175" i="13"/>
  <c r="N173" i="15"/>
  <c r="O173" i="15" s="1"/>
  <c r="O335" i="15"/>
  <c r="P358" i="15"/>
  <c r="L72" i="15"/>
  <c r="O72" i="15" s="1"/>
  <c r="P189" i="15"/>
  <c r="O358" i="15"/>
  <c r="P175" i="14"/>
  <c r="M72" i="14"/>
  <c r="P72" i="14" s="1"/>
  <c r="O175" i="14"/>
  <c r="P303" i="15"/>
  <c r="L94" i="14"/>
  <c r="O94" i="14" s="1"/>
  <c r="O46" i="15"/>
  <c r="L139" i="14"/>
  <c r="O139" i="14" s="1"/>
  <c r="O305" i="14"/>
  <c r="M377" i="14"/>
  <c r="P377" i="14" s="1"/>
  <c r="P62" i="15"/>
  <c r="M20" i="15"/>
  <c r="P23" i="15"/>
  <c r="N40" i="15"/>
  <c r="K82" i="15"/>
  <c r="I70" i="15"/>
  <c r="K70" i="15" s="1"/>
  <c r="P175" i="15"/>
  <c r="M173" i="15"/>
  <c r="M72" i="15"/>
  <c r="P72" i="15" s="1"/>
  <c r="O188" i="15"/>
  <c r="L186" i="15"/>
  <c r="O186" i="15" s="1"/>
  <c r="K83" i="15"/>
  <c r="I71" i="15"/>
  <c r="K71" i="15" s="1"/>
  <c r="M18" i="15"/>
  <c r="P19" i="15"/>
  <c r="L94" i="15"/>
  <c r="O94" i="15" s="1"/>
  <c r="O96" i="15"/>
  <c r="P186" i="15"/>
  <c r="M333" i="15"/>
  <c r="P333" i="15" s="1"/>
  <c r="P335" i="15"/>
  <c r="K231" i="15"/>
  <c r="I185" i="15"/>
  <c r="K185" i="15" s="1"/>
  <c r="O243" i="15"/>
  <c r="L232" i="15"/>
  <c r="O61" i="15"/>
  <c r="L59" i="15"/>
  <c r="P188" i="15"/>
  <c r="P46" i="15"/>
  <c r="M44" i="15"/>
  <c r="O268" i="15"/>
  <c r="L266" i="15"/>
  <c r="O266" i="15" s="1"/>
  <c r="L125" i="15"/>
  <c r="O125" i="15" s="1"/>
  <c r="P141" i="15"/>
  <c r="M139" i="15"/>
  <c r="P139" i="15" s="1"/>
  <c r="L282" i="15"/>
  <c r="O282" i="15" s="1"/>
  <c r="L139" i="15"/>
  <c r="O139" i="15" s="1"/>
  <c r="O44" i="15"/>
  <c r="M21" i="15"/>
  <c r="M139" i="14"/>
  <c r="P139" i="14" s="1"/>
  <c r="N20" i="15"/>
  <c r="N18" i="15" s="1"/>
  <c r="N21" i="15"/>
  <c r="L20" i="15"/>
  <c r="O23" i="15"/>
  <c r="L21" i="15"/>
  <c r="M157" i="15"/>
  <c r="P157" i="15" s="1"/>
  <c r="P284" i="15"/>
  <c r="M282" i="15"/>
  <c r="P282" i="15" s="1"/>
  <c r="L282" i="14"/>
  <c r="O282" i="14" s="1"/>
  <c r="L157" i="10"/>
  <c r="O157" i="10" s="1"/>
  <c r="M72" i="13"/>
  <c r="P72" i="13" s="1"/>
  <c r="M94" i="14"/>
  <c r="P94" i="14" s="1"/>
  <c r="L125" i="14"/>
  <c r="O125" i="14" s="1"/>
  <c r="K242" i="14"/>
  <c r="K82" i="14"/>
  <c r="O333" i="14"/>
  <c r="P333" i="14"/>
  <c r="O335" i="14"/>
  <c r="P358" i="14"/>
  <c r="L282" i="13"/>
  <c r="O282" i="13" s="1"/>
  <c r="P335" i="14"/>
  <c r="P356" i="14"/>
  <c r="O74" i="14"/>
  <c r="L72" i="14"/>
  <c r="O72" i="14" s="1"/>
  <c r="P159" i="13"/>
  <c r="P59" i="13"/>
  <c r="P268" i="14"/>
  <c r="M266" i="14"/>
  <c r="P266" i="14" s="1"/>
  <c r="O358" i="14"/>
  <c r="L173" i="14"/>
  <c r="O173" i="14" s="1"/>
  <c r="O356" i="14"/>
  <c r="M186" i="14"/>
  <c r="P186" i="14" s="1"/>
  <c r="P188" i="14"/>
  <c r="O44" i="14"/>
  <c r="P44" i="14"/>
  <c r="M20" i="14"/>
  <c r="P23" i="14"/>
  <c r="M21" i="14"/>
  <c r="O46" i="14"/>
  <c r="P284" i="14"/>
  <c r="M282" i="14"/>
  <c r="P282" i="14" s="1"/>
  <c r="L20" i="14"/>
  <c r="O23" i="14"/>
  <c r="O243" i="14"/>
  <c r="L232" i="14"/>
  <c r="O19" i="14"/>
  <c r="M157" i="14"/>
  <c r="P157" i="14" s="1"/>
  <c r="P359" i="14"/>
  <c r="O359" i="14"/>
  <c r="N20" i="14"/>
  <c r="N18" i="14" s="1"/>
  <c r="N21" i="14"/>
  <c r="M24" i="14"/>
  <c r="P24" i="14" s="1"/>
  <c r="P26" i="14"/>
  <c r="N59" i="14"/>
  <c r="N40" i="14" s="1"/>
  <c r="P61" i="14"/>
  <c r="I185" i="14"/>
  <c r="K185" i="14" s="1"/>
  <c r="K231" i="14"/>
  <c r="K83" i="14"/>
  <c r="I71" i="14"/>
  <c r="K71" i="14" s="1"/>
  <c r="O322" i="14"/>
  <c r="L320" i="14"/>
  <c r="O320" i="14" s="1"/>
  <c r="L266" i="14"/>
  <c r="O266" i="14" s="1"/>
  <c r="O268" i="14"/>
  <c r="L186" i="14"/>
  <c r="O186" i="14" s="1"/>
  <c r="O188" i="14"/>
  <c r="P322" i="14"/>
  <c r="M320" i="14"/>
  <c r="P320" i="14" s="1"/>
  <c r="L173" i="13"/>
  <c r="O173" i="13" s="1"/>
  <c r="L24" i="14"/>
  <c r="O24" i="14" s="1"/>
  <c r="L21" i="14"/>
  <c r="M173" i="14"/>
  <c r="P173" i="14" s="1"/>
  <c r="P46" i="14"/>
  <c r="O61" i="14"/>
  <c r="L59" i="14"/>
  <c r="M320" i="11"/>
  <c r="P320" i="11" s="1"/>
  <c r="M94" i="13"/>
  <c r="P94" i="13" s="1"/>
  <c r="L377" i="11"/>
  <c r="O377" i="11" s="1"/>
  <c r="P188" i="13"/>
  <c r="O141" i="13"/>
  <c r="P335" i="13"/>
  <c r="O305" i="13"/>
  <c r="L125" i="13"/>
  <c r="O125" i="13" s="1"/>
  <c r="L139" i="13"/>
  <c r="O139" i="13" s="1"/>
  <c r="L157" i="13"/>
  <c r="O157" i="13" s="1"/>
  <c r="O333" i="13"/>
  <c r="M303" i="13"/>
  <c r="P303" i="13" s="1"/>
  <c r="L94" i="12"/>
  <c r="O94" i="12" s="1"/>
  <c r="N186" i="13"/>
  <c r="P186" i="13" s="1"/>
  <c r="O379" i="13"/>
  <c r="O46" i="13"/>
  <c r="L44" i="13"/>
  <c r="O44" i="13" s="1"/>
  <c r="P142" i="13"/>
  <c r="I71" i="13"/>
  <c r="K71" i="13" s="1"/>
  <c r="M266" i="13"/>
  <c r="P266" i="13" s="1"/>
  <c r="P268" i="13"/>
  <c r="L173" i="12"/>
  <c r="O173" i="12" s="1"/>
  <c r="O127" i="12"/>
  <c r="P358" i="13"/>
  <c r="P62" i="12"/>
  <c r="M44" i="13"/>
  <c r="P46" i="13"/>
  <c r="O61" i="13"/>
  <c r="L59" i="13"/>
  <c r="O59" i="13" s="1"/>
  <c r="M24" i="13"/>
  <c r="P24" i="13" s="1"/>
  <c r="P26" i="13"/>
  <c r="L186" i="13"/>
  <c r="O188" i="13"/>
  <c r="M333" i="13"/>
  <c r="P333" i="13" s="1"/>
  <c r="L20" i="13"/>
  <c r="L18" i="13" s="1"/>
  <c r="O23" i="13"/>
  <c r="L94" i="13"/>
  <c r="O94" i="13" s="1"/>
  <c r="O96" i="13"/>
  <c r="P141" i="11"/>
  <c r="O159" i="12"/>
  <c r="M20" i="13"/>
  <c r="P23" i="13"/>
  <c r="M21" i="13"/>
  <c r="L24" i="13"/>
  <c r="O24" i="13" s="1"/>
  <c r="L356" i="13"/>
  <c r="O356" i="13" s="1"/>
  <c r="O358" i="13"/>
  <c r="M173" i="13"/>
  <c r="P173" i="13" s="1"/>
  <c r="O335" i="13"/>
  <c r="I70" i="13"/>
  <c r="K70" i="13" s="1"/>
  <c r="K82" i="13"/>
  <c r="L21" i="13"/>
  <c r="L232" i="13"/>
  <c r="O243" i="13"/>
  <c r="M377" i="13"/>
  <c r="P377" i="13" s="1"/>
  <c r="M282" i="13"/>
  <c r="P282" i="13" s="1"/>
  <c r="P141" i="13"/>
  <c r="M139" i="13"/>
  <c r="P139" i="13" s="1"/>
  <c r="I231" i="13"/>
  <c r="K242" i="13"/>
  <c r="O46" i="12"/>
  <c r="P356" i="13"/>
  <c r="P61" i="13"/>
  <c r="O19" i="13"/>
  <c r="P61" i="12"/>
  <c r="N20" i="13"/>
  <c r="N18" i="13" s="1"/>
  <c r="N21" i="13"/>
  <c r="P322" i="13"/>
  <c r="M320" i="13"/>
  <c r="P320" i="13" s="1"/>
  <c r="L320" i="13"/>
  <c r="O320" i="13" s="1"/>
  <c r="M303" i="12"/>
  <c r="P303" i="12" s="1"/>
  <c r="O141" i="12"/>
  <c r="L320" i="12"/>
  <c r="O320" i="12" s="1"/>
  <c r="L232" i="12"/>
  <c r="P335" i="11"/>
  <c r="P335" i="12"/>
  <c r="P142" i="11"/>
  <c r="P333" i="12"/>
  <c r="O379" i="12"/>
  <c r="O282" i="12"/>
  <c r="L282" i="11"/>
  <c r="O282" i="11" s="1"/>
  <c r="M139" i="11"/>
  <c r="P139" i="11" s="1"/>
  <c r="L72" i="12"/>
  <c r="O72" i="12" s="1"/>
  <c r="O356" i="12"/>
  <c r="P305" i="8"/>
  <c r="L232" i="11"/>
  <c r="P358" i="12"/>
  <c r="O284" i="12"/>
  <c r="P285" i="12"/>
  <c r="O62" i="12"/>
  <c r="O44" i="12"/>
  <c r="M320" i="12"/>
  <c r="P320" i="12" s="1"/>
  <c r="K242" i="11"/>
  <c r="M59" i="12"/>
  <c r="P59" i="12" s="1"/>
  <c r="L157" i="12"/>
  <c r="O157" i="12" s="1"/>
  <c r="K83" i="12"/>
  <c r="O358" i="12"/>
  <c r="M377" i="12"/>
  <c r="P377" i="12" s="1"/>
  <c r="M377" i="11"/>
  <c r="P377" i="11" s="1"/>
  <c r="M94" i="12"/>
  <c r="P94" i="12" s="1"/>
  <c r="M24" i="12"/>
  <c r="P24" i="12" s="1"/>
  <c r="M266" i="12"/>
  <c r="P266" i="12" s="1"/>
  <c r="N40" i="12"/>
  <c r="M125" i="11"/>
  <c r="P125" i="11" s="1"/>
  <c r="P46" i="11"/>
  <c r="M333" i="11"/>
  <c r="P333" i="11" s="1"/>
  <c r="L157" i="11"/>
  <c r="O157" i="11" s="1"/>
  <c r="M173" i="12"/>
  <c r="P173" i="12" s="1"/>
  <c r="P175" i="12"/>
  <c r="L24" i="12"/>
  <c r="O24" i="12" s="1"/>
  <c r="M139" i="12"/>
  <c r="P139" i="12" s="1"/>
  <c r="M157" i="12"/>
  <c r="P157" i="12" s="1"/>
  <c r="P159" i="12"/>
  <c r="P127" i="12"/>
  <c r="M125" i="12"/>
  <c r="P125" i="12" s="1"/>
  <c r="P188" i="11"/>
  <c r="L21" i="12"/>
  <c r="L20" i="12"/>
  <c r="L18" i="12" s="1"/>
  <c r="O23" i="12"/>
  <c r="M282" i="12"/>
  <c r="P282" i="12" s="1"/>
  <c r="P284" i="12"/>
  <c r="O188" i="12"/>
  <c r="L186" i="12"/>
  <c r="O186" i="12" s="1"/>
  <c r="K82" i="12"/>
  <c r="I70" i="12"/>
  <c r="K70" i="12" s="1"/>
  <c r="P186" i="12"/>
  <c r="P188" i="12"/>
  <c r="L333" i="12"/>
  <c r="O333" i="12" s="1"/>
  <c r="O335" i="12"/>
  <c r="N20" i="12"/>
  <c r="N18" i="12" s="1"/>
  <c r="N21" i="12"/>
  <c r="O173" i="11"/>
  <c r="M44" i="12"/>
  <c r="P46" i="12"/>
  <c r="O268" i="12"/>
  <c r="L266" i="12"/>
  <c r="O266" i="12" s="1"/>
  <c r="O19" i="12"/>
  <c r="K253" i="12"/>
  <c r="I231" i="12"/>
  <c r="O61" i="12"/>
  <c r="L59" i="12"/>
  <c r="L94" i="11"/>
  <c r="O94" i="11" s="1"/>
  <c r="O333" i="11"/>
  <c r="M72" i="12"/>
  <c r="P72" i="12" s="1"/>
  <c r="P74" i="12"/>
  <c r="M20" i="12"/>
  <c r="M21" i="12"/>
  <c r="P23" i="12"/>
  <c r="M356" i="12"/>
  <c r="P356" i="12" s="1"/>
  <c r="P173" i="11"/>
  <c r="M94" i="11"/>
  <c r="P94" i="11" s="1"/>
  <c r="O74" i="11"/>
  <c r="L266" i="11"/>
  <c r="O266" i="11" s="1"/>
  <c r="O358" i="10"/>
  <c r="O141" i="11"/>
  <c r="P358" i="11"/>
  <c r="P359" i="11"/>
  <c r="M157" i="11"/>
  <c r="P157" i="11" s="1"/>
  <c r="P175" i="11"/>
  <c r="L320" i="11"/>
  <c r="O320" i="11" s="1"/>
  <c r="P74" i="11"/>
  <c r="P358" i="10"/>
  <c r="O175" i="10"/>
  <c r="O175" i="11"/>
  <c r="P188" i="9"/>
  <c r="L24" i="11"/>
  <c r="O24" i="11" s="1"/>
  <c r="L303" i="11"/>
  <c r="O303" i="11" s="1"/>
  <c r="M24" i="8"/>
  <c r="P24" i="8" s="1"/>
  <c r="O268" i="10"/>
  <c r="O335" i="11"/>
  <c r="N44" i="11"/>
  <c r="O44" i="11" s="1"/>
  <c r="N356" i="11"/>
  <c r="P356" i="11" s="1"/>
  <c r="P61" i="11"/>
  <c r="N72" i="11"/>
  <c r="O72" i="11" s="1"/>
  <c r="O176" i="11"/>
  <c r="M282" i="11"/>
  <c r="P282" i="11" s="1"/>
  <c r="K332" i="10"/>
  <c r="M125" i="10"/>
  <c r="P125" i="10" s="1"/>
  <c r="P268" i="11"/>
  <c r="M266" i="11"/>
  <c r="P266" i="11" s="1"/>
  <c r="I71" i="10"/>
  <c r="K71" i="10" s="1"/>
  <c r="O379" i="10"/>
  <c r="L20" i="11"/>
  <c r="L18" i="11" s="1"/>
  <c r="O23" i="11"/>
  <c r="P305" i="11"/>
  <c r="M303" i="11"/>
  <c r="P303" i="11" s="1"/>
  <c r="K82" i="11"/>
  <c r="I70" i="11"/>
  <c r="K70" i="11" s="1"/>
  <c r="K83" i="11"/>
  <c r="I71" i="11"/>
  <c r="K71" i="11" s="1"/>
  <c r="M20" i="11"/>
  <c r="P23" i="11"/>
  <c r="I185" i="11"/>
  <c r="K185" i="11" s="1"/>
  <c r="O188" i="10"/>
  <c r="N20" i="11"/>
  <c r="N18" i="11" s="1"/>
  <c r="N21" i="11"/>
  <c r="P21" i="11" s="1"/>
  <c r="O19" i="11"/>
  <c r="M186" i="11"/>
  <c r="P186" i="11" s="1"/>
  <c r="P336" i="11"/>
  <c r="O358" i="11"/>
  <c r="L356" i="11"/>
  <c r="L125" i="11"/>
  <c r="O125" i="11" s="1"/>
  <c r="L139" i="11"/>
  <c r="O139" i="11" s="1"/>
  <c r="L21" i="11"/>
  <c r="O188" i="11"/>
  <c r="L186" i="11"/>
  <c r="O186" i="11" s="1"/>
  <c r="O94" i="10"/>
  <c r="L72" i="10"/>
  <c r="O72" i="10" s="1"/>
  <c r="O61" i="11"/>
  <c r="L59" i="11"/>
  <c r="O59" i="11" s="1"/>
  <c r="O46" i="11"/>
  <c r="M59" i="11"/>
  <c r="P59" i="11" s="1"/>
  <c r="M24" i="11"/>
  <c r="P24" i="11" s="1"/>
  <c r="N173" i="10"/>
  <c r="O173" i="10" s="1"/>
  <c r="P61" i="10"/>
  <c r="P335" i="10"/>
  <c r="M266" i="10"/>
  <c r="P266" i="10" s="1"/>
  <c r="P96" i="10"/>
  <c r="O61" i="9"/>
  <c r="O96" i="10"/>
  <c r="L125" i="10"/>
  <c r="O125" i="10" s="1"/>
  <c r="M157" i="10"/>
  <c r="P157" i="10" s="1"/>
  <c r="M377" i="10"/>
  <c r="P377" i="10" s="1"/>
  <c r="O141" i="10"/>
  <c r="P175" i="9"/>
  <c r="P358" i="9"/>
  <c r="O74" i="9"/>
  <c r="O62" i="10"/>
  <c r="L282" i="10"/>
  <c r="O282" i="10" s="1"/>
  <c r="O46" i="10"/>
  <c r="L24" i="10"/>
  <c r="O24" i="10" s="1"/>
  <c r="P175" i="10"/>
  <c r="L356" i="10"/>
  <c r="O356" i="10" s="1"/>
  <c r="M94" i="10"/>
  <c r="P94" i="10" s="1"/>
  <c r="L139" i="10"/>
  <c r="O139" i="10" s="1"/>
  <c r="M333" i="10"/>
  <c r="P333" i="10" s="1"/>
  <c r="I71" i="9"/>
  <c r="K71" i="9" s="1"/>
  <c r="P74" i="9"/>
  <c r="M320" i="10"/>
  <c r="P320" i="10" s="1"/>
  <c r="L320" i="10"/>
  <c r="O320" i="10" s="1"/>
  <c r="P94" i="9"/>
  <c r="P59" i="10"/>
  <c r="O19" i="10"/>
  <c r="I231" i="10"/>
  <c r="K242" i="10"/>
  <c r="M44" i="10"/>
  <c r="P46" i="10"/>
  <c r="P305" i="10"/>
  <c r="N303" i="10"/>
  <c r="P303" i="10" s="1"/>
  <c r="P141" i="9"/>
  <c r="M72" i="10"/>
  <c r="P72" i="10" s="1"/>
  <c r="P74" i="10"/>
  <c r="L20" i="10"/>
  <c r="O23" i="10"/>
  <c r="L282" i="9"/>
  <c r="O282" i="9" s="1"/>
  <c r="P359" i="9"/>
  <c r="O44" i="10"/>
  <c r="M20" i="10"/>
  <c r="P23" i="10"/>
  <c r="N20" i="10"/>
  <c r="N18" i="10" s="1"/>
  <c r="N21" i="10"/>
  <c r="P141" i="10"/>
  <c r="M139" i="10"/>
  <c r="P139" i="10" s="1"/>
  <c r="O305" i="10"/>
  <c r="L21" i="10"/>
  <c r="K242" i="9"/>
  <c r="M24" i="10"/>
  <c r="P24" i="10" s="1"/>
  <c r="P26" i="10"/>
  <c r="O61" i="10"/>
  <c r="L59" i="10"/>
  <c r="O59" i="10" s="1"/>
  <c r="P188" i="10"/>
  <c r="N186" i="10"/>
  <c r="P356" i="10"/>
  <c r="K82" i="10"/>
  <c r="I70" i="10"/>
  <c r="K70" i="10" s="1"/>
  <c r="O335" i="10"/>
  <c r="L333" i="10"/>
  <c r="O333" i="10" s="1"/>
  <c r="M21" i="10"/>
  <c r="O243" i="10"/>
  <c r="L232" i="10"/>
  <c r="M282" i="10"/>
  <c r="P282" i="10" s="1"/>
  <c r="O46" i="8"/>
  <c r="O175" i="9"/>
  <c r="L72" i="9"/>
  <c r="O72" i="9" s="1"/>
  <c r="O46" i="9"/>
  <c r="L266" i="9"/>
  <c r="O266" i="9" s="1"/>
  <c r="O173" i="8"/>
  <c r="P75" i="9"/>
  <c r="N173" i="9"/>
  <c r="O173" i="9" s="1"/>
  <c r="O358" i="8"/>
  <c r="L44" i="8"/>
  <c r="O44" i="8" s="1"/>
  <c r="O59" i="9"/>
  <c r="P175" i="6"/>
  <c r="L125" i="9"/>
  <c r="O125" i="9" s="1"/>
  <c r="P335" i="9"/>
  <c r="O96" i="9"/>
  <c r="P96" i="9"/>
  <c r="L157" i="9"/>
  <c r="O157" i="9" s="1"/>
  <c r="L24" i="9"/>
  <c r="O24" i="9" s="1"/>
  <c r="M72" i="9"/>
  <c r="P72" i="9" s="1"/>
  <c r="M173" i="9"/>
  <c r="P61" i="9"/>
  <c r="M125" i="9"/>
  <c r="P125" i="9" s="1"/>
  <c r="O305" i="9"/>
  <c r="L303" i="9"/>
  <c r="O303" i="9" s="1"/>
  <c r="K231" i="9"/>
  <c r="I185" i="9"/>
  <c r="K185" i="9" s="1"/>
  <c r="P188" i="8"/>
  <c r="M377" i="8"/>
  <c r="P377" i="8" s="1"/>
  <c r="O189" i="9"/>
  <c r="O336" i="9"/>
  <c r="O186" i="9"/>
  <c r="O188" i="9"/>
  <c r="O159" i="8"/>
  <c r="M282" i="9"/>
  <c r="P282" i="9" s="1"/>
  <c r="L377" i="9"/>
  <c r="O377" i="9" s="1"/>
  <c r="M157" i="9"/>
  <c r="P157" i="9" s="1"/>
  <c r="M320" i="9"/>
  <c r="P320" i="9" s="1"/>
  <c r="M20" i="9"/>
  <c r="P23" i="9"/>
  <c r="L356" i="9"/>
  <c r="O358" i="9"/>
  <c r="O44" i="9"/>
  <c r="O159" i="6"/>
  <c r="O175" i="8"/>
  <c r="L232" i="8"/>
  <c r="N139" i="9"/>
  <c r="O139" i="9" s="1"/>
  <c r="M377" i="9"/>
  <c r="P377" i="9" s="1"/>
  <c r="O141" i="9"/>
  <c r="O94" i="9"/>
  <c r="O175" i="6"/>
  <c r="P94" i="8"/>
  <c r="O306" i="8"/>
  <c r="M303" i="9"/>
  <c r="P303" i="9" s="1"/>
  <c r="P305" i="9"/>
  <c r="L320" i="9"/>
  <c r="O320" i="9" s="1"/>
  <c r="K82" i="9"/>
  <c r="I70" i="9"/>
  <c r="K70" i="9" s="1"/>
  <c r="M44" i="9"/>
  <c r="O359" i="9"/>
  <c r="M186" i="9"/>
  <c r="P186" i="9" s="1"/>
  <c r="L232" i="9"/>
  <c r="P333" i="9"/>
  <c r="N356" i="9"/>
  <c r="P356" i="9" s="1"/>
  <c r="L24" i="8"/>
  <c r="O24" i="8" s="1"/>
  <c r="O127" i="8"/>
  <c r="L20" i="9"/>
  <c r="O23" i="9"/>
  <c r="M266" i="9"/>
  <c r="P266" i="9" s="1"/>
  <c r="N20" i="9"/>
  <c r="N18" i="9" s="1"/>
  <c r="N21" i="9"/>
  <c r="O21" i="9" s="1"/>
  <c r="M24" i="9"/>
  <c r="P24" i="9" s="1"/>
  <c r="P26" i="9"/>
  <c r="P62" i="9"/>
  <c r="L333" i="9"/>
  <c r="O333" i="9" s="1"/>
  <c r="O335" i="9"/>
  <c r="M21" i="9"/>
  <c r="M59" i="9"/>
  <c r="P59" i="9" s="1"/>
  <c r="I231" i="7"/>
  <c r="K231" i="7" s="1"/>
  <c r="O335" i="8"/>
  <c r="O61" i="7"/>
  <c r="O333" i="8"/>
  <c r="L282" i="8"/>
  <c r="O282" i="8" s="1"/>
  <c r="O243" i="8"/>
  <c r="L72" i="7"/>
  <c r="O72" i="7" s="1"/>
  <c r="O157" i="8"/>
  <c r="N377" i="1"/>
  <c r="M303" i="7"/>
  <c r="P303" i="7" s="1"/>
  <c r="P62" i="8"/>
  <c r="P61" i="8"/>
  <c r="I71" i="8"/>
  <c r="K71" i="8" s="1"/>
  <c r="K83" i="8"/>
  <c r="O141" i="8"/>
  <c r="L139" i="8"/>
  <c r="O139" i="8" s="1"/>
  <c r="N40" i="8"/>
  <c r="P46" i="7"/>
  <c r="M186" i="8"/>
  <c r="P186" i="8" s="1"/>
  <c r="O74" i="8"/>
  <c r="L377" i="8"/>
  <c r="O377" i="8" s="1"/>
  <c r="O47" i="8"/>
  <c r="N44" i="7"/>
  <c r="P44" i="7" s="1"/>
  <c r="P96" i="8"/>
  <c r="O72" i="8"/>
  <c r="K332" i="8"/>
  <c r="M303" i="8"/>
  <c r="P303" i="8" s="1"/>
  <c r="N20" i="8"/>
  <c r="N18" i="8" s="1"/>
  <c r="N21" i="8"/>
  <c r="P141" i="8"/>
  <c r="M139" i="8"/>
  <c r="P139" i="8" s="1"/>
  <c r="L266" i="8"/>
  <c r="O266" i="8" s="1"/>
  <c r="O268" i="8"/>
  <c r="M59" i="8"/>
  <c r="P59" i="8" s="1"/>
  <c r="M157" i="8"/>
  <c r="P157" i="8" s="1"/>
  <c r="P159" i="8"/>
  <c r="O305" i="8"/>
  <c r="L303" i="8"/>
  <c r="O303" i="8" s="1"/>
  <c r="L94" i="8"/>
  <c r="O94" i="8" s="1"/>
  <c r="O96" i="8"/>
  <c r="M266" i="8"/>
  <c r="P266" i="8" s="1"/>
  <c r="P336" i="8"/>
  <c r="O189" i="8"/>
  <c r="M173" i="8"/>
  <c r="P173" i="8" s="1"/>
  <c r="P175" i="8"/>
  <c r="O61" i="8"/>
  <c r="L59" i="8"/>
  <c r="O59" i="8" s="1"/>
  <c r="P335" i="8"/>
  <c r="M333" i="8"/>
  <c r="P333" i="8" s="1"/>
  <c r="L356" i="8"/>
  <c r="O356" i="8" s="1"/>
  <c r="O157" i="7"/>
  <c r="M21" i="8"/>
  <c r="M20" i="8"/>
  <c r="P23" i="8"/>
  <c r="O188" i="8"/>
  <c r="L186" i="8"/>
  <c r="O186" i="8" s="1"/>
  <c r="O19" i="8"/>
  <c r="M282" i="8"/>
  <c r="P282" i="8" s="1"/>
  <c r="P284" i="8"/>
  <c r="O336" i="8"/>
  <c r="M356" i="8"/>
  <c r="P356" i="8" s="1"/>
  <c r="P358" i="8"/>
  <c r="O306" i="5"/>
  <c r="O333" i="6"/>
  <c r="L377" i="6"/>
  <c r="O377" i="6" s="1"/>
  <c r="O160" i="7"/>
  <c r="P59" i="7"/>
  <c r="M44" i="8"/>
  <c r="P46" i="8"/>
  <c r="I231" i="8"/>
  <c r="K242" i="8"/>
  <c r="M72" i="8"/>
  <c r="P72" i="8" s="1"/>
  <c r="P74" i="8"/>
  <c r="P127" i="8"/>
  <c r="M125" i="8"/>
  <c r="P125" i="8" s="1"/>
  <c r="K82" i="8"/>
  <c r="I70" i="8"/>
  <c r="K70" i="8" s="1"/>
  <c r="O322" i="8"/>
  <c r="L320" i="8"/>
  <c r="O320" i="8" s="1"/>
  <c r="L21" i="8"/>
  <c r="L20" i="8"/>
  <c r="O23" i="8"/>
  <c r="M320" i="8"/>
  <c r="P320" i="8" s="1"/>
  <c r="P176" i="7"/>
  <c r="I71" i="7"/>
  <c r="K71" i="7" s="1"/>
  <c r="I231" i="5"/>
  <c r="K231" i="5" s="1"/>
  <c r="O159" i="7"/>
  <c r="P188" i="7"/>
  <c r="P94" i="7"/>
  <c r="O358" i="7"/>
  <c r="O141" i="7"/>
  <c r="P335" i="7"/>
  <c r="M377" i="7"/>
  <c r="P377" i="7" s="1"/>
  <c r="O268" i="7"/>
  <c r="O59" i="7"/>
  <c r="P175" i="7"/>
  <c r="P96" i="7"/>
  <c r="P142" i="7"/>
  <c r="M266" i="7"/>
  <c r="P266" i="7" s="1"/>
  <c r="P159" i="2"/>
  <c r="O358" i="5"/>
  <c r="M72" i="7"/>
  <c r="P72" i="7" s="1"/>
  <c r="M320" i="7"/>
  <c r="P320" i="7" s="1"/>
  <c r="L139" i="7"/>
  <c r="O139" i="7" s="1"/>
  <c r="M157" i="7"/>
  <c r="P157" i="7" s="1"/>
  <c r="L125" i="7"/>
  <c r="O125" i="7" s="1"/>
  <c r="L24" i="7"/>
  <c r="O24" i="7" s="1"/>
  <c r="P142" i="1"/>
  <c r="P305" i="6"/>
  <c r="O46" i="7"/>
  <c r="P186" i="7"/>
  <c r="L20" i="7"/>
  <c r="L18" i="7" s="1"/>
  <c r="O23" i="7"/>
  <c r="P141" i="7"/>
  <c r="M139" i="7"/>
  <c r="P139" i="7" s="1"/>
  <c r="O96" i="7"/>
  <c r="L94" i="7"/>
  <c r="M356" i="7"/>
  <c r="P356" i="7" s="1"/>
  <c r="P358" i="7"/>
  <c r="O175" i="7"/>
  <c r="M72" i="6"/>
  <c r="P72" i="6" s="1"/>
  <c r="L303" i="7"/>
  <c r="O303" i="7" s="1"/>
  <c r="O305" i="7"/>
  <c r="P61" i="7"/>
  <c r="K332" i="7"/>
  <c r="N20" i="7"/>
  <c r="N18" i="7" s="1"/>
  <c r="N21" i="7"/>
  <c r="K82" i="7"/>
  <c r="I70" i="7"/>
  <c r="K70" i="7" s="1"/>
  <c r="N173" i="7"/>
  <c r="P173" i="7" s="1"/>
  <c r="M20" i="7"/>
  <c r="P23" i="7"/>
  <c r="L186" i="7"/>
  <c r="O186" i="7" s="1"/>
  <c r="O188" i="7"/>
  <c r="M125" i="7"/>
  <c r="P125" i="7" s="1"/>
  <c r="P127" i="7"/>
  <c r="M21" i="7"/>
  <c r="L232" i="7"/>
  <c r="O243" i="7"/>
  <c r="P47" i="7"/>
  <c r="M333" i="7"/>
  <c r="P333" i="7" s="1"/>
  <c r="M282" i="7"/>
  <c r="P282" i="7" s="1"/>
  <c r="O284" i="7"/>
  <c r="L282" i="7"/>
  <c r="O282" i="7" s="1"/>
  <c r="M24" i="7"/>
  <c r="P24" i="7" s="1"/>
  <c r="P26" i="7"/>
  <c r="L320" i="7"/>
  <c r="O320" i="7" s="1"/>
  <c r="O62" i="7"/>
  <c r="O19" i="7"/>
  <c r="N125" i="1"/>
  <c r="O232" i="1"/>
  <c r="L125" i="2"/>
  <c r="O125" i="2" s="1"/>
  <c r="L21" i="7"/>
  <c r="L377" i="7"/>
  <c r="O377" i="7" s="1"/>
  <c r="O379" i="7"/>
  <c r="O335" i="7"/>
  <c r="L333" i="7"/>
  <c r="O333" i="7" s="1"/>
  <c r="L356" i="7"/>
  <c r="O356" i="7" s="1"/>
  <c r="P61" i="6"/>
  <c r="O284" i="6"/>
  <c r="K332" i="6"/>
  <c r="N157" i="6"/>
  <c r="O157" i="6" s="1"/>
  <c r="M157" i="6"/>
  <c r="P157" i="6" s="1"/>
  <c r="M282" i="5"/>
  <c r="P282" i="5" s="1"/>
  <c r="P46" i="6"/>
  <c r="L125" i="6"/>
  <c r="O125" i="6" s="1"/>
  <c r="N282" i="6"/>
  <c r="O282" i="6" s="1"/>
  <c r="O142" i="6"/>
  <c r="O59" i="6"/>
  <c r="L94" i="6"/>
  <c r="O94" i="6" s="1"/>
  <c r="O176" i="6"/>
  <c r="O356" i="6"/>
  <c r="P335" i="6"/>
  <c r="I70" i="6"/>
  <c r="K70" i="6" s="1"/>
  <c r="O335" i="6"/>
  <c r="M266" i="6"/>
  <c r="P266" i="6" s="1"/>
  <c r="O46" i="6"/>
  <c r="P173" i="5"/>
  <c r="P356" i="5"/>
  <c r="O141" i="6"/>
  <c r="P59" i="6"/>
  <c r="O173" i="6"/>
  <c r="M24" i="6"/>
  <c r="P24" i="6" s="1"/>
  <c r="L377" i="5"/>
  <c r="O377" i="5" s="1"/>
  <c r="N44" i="6"/>
  <c r="O44" i="6" s="1"/>
  <c r="O61" i="6"/>
  <c r="N303" i="6"/>
  <c r="P303" i="6" s="1"/>
  <c r="P335" i="4"/>
  <c r="P322" i="4"/>
  <c r="P159" i="5"/>
  <c r="O336" i="5"/>
  <c r="O305" i="6"/>
  <c r="M94" i="6"/>
  <c r="P94" i="6" s="1"/>
  <c r="M320" i="3"/>
  <c r="P320" i="3" s="1"/>
  <c r="K83" i="6"/>
  <c r="I71" i="6"/>
  <c r="K71" i="6" s="1"/>
  <c r="O26" i="6"/>
  <c r="L24" i="6"/>
  <c r="O24" i="6" s="1"/>
  <c r="O322" i="6"/>
  <c r="L320" i="6"/>
  <c r="O320" i="6" s="1"/>
  <c r="L20" i="6"/>
  <c r="O23" i="6"/>
  <c r="N282" i="1"/>
  <c r="P61" i="5"/>
  <c r="L320" i="5"/>
  <c r="O320" i="5" s="1"/>
  <c r="M377" i="5"/>
  <c r="P377" i="5" s="1"/>
  <c r="O335" i="5"/>
  <c r="L139" i="6"/>
  <c r="O139" i="6" s="1"/>
  <c r="P188" i="6"/>
  <c r="N186" i="6"/>
  <c r="P186" i="6" s="1"/>
  <c r="M173" i="6"/>
  <c r="P173" i="6" s="1"/>
  <c r="I185" i="6"/>
  <c r="K185" i="6" s="1"/>
  <c r="K231" i="6"/>
  <c r="P356" i="6"/>
  <c r="L266" i="5"/>
  <c r="O266" i="5" s="1"/>
  <c r="P23" i="6"/>
  <c r="M20" i="6"/>
  <c r="N20" i="6"/>
  <c r="N18" i="6" s="1"/>
  <c r="N21" i="6"/>
  <c r="P62" i="6"/>
  <c r="O62" i="6"/>
  <c r="P358" i="6"/>
  <c r="O284" i="1"/>
  <c r="P358" i="5"/>
  <c r="M125" i="6"/>
  <c r="P125" i="6" s="1"/>
  <c r="P127" i="6"/>
  <c r="M21" i="6"/>
  <c r="L72" i="6"/>
  <c r="O358" i="6"/>
  <c r="P284" i="6"/>
  <c r="M282" i="6"/>
  <c r="L266" i="6"/>
  <c r="O266" i="6" s="1"/>
  <c r="O268" i="6"/>
  <c r="P322" i="6"/>
  <c r="M320" i="6"/>
  <c r="P320" i="6" s="1"/>
  <c r="P284" i="1"/>
  <c r="P141" i="6"/>
  <c r="M139" i="6"/>
  <c r="P139" i="6" s="1"/>
  <c r="O243" i="6"/>
  <c r="L232" i="6"/>
  <c r="L21" i="6"/>
  <c r="O359" i="6"/>
  <c r="P359" i="6"/>
  <c r="L186" i="6"/>
  <c r="O188" i="6"/>
  <c r="M377" i="6"/>
  <c r="P377" i="6" s="1"/>
  <c r="P284" i="4"/>
  <c r="L94" i="5"/>
  <c r="O94" i="5" s="1"/>
  <c r="P335" i="5"/>
  <c r="O333" i="4"/>
  <c r="P189" i="1"/>
  <c r="L125" i="4"/>
  <c r="O125" i="4" s="1"/>
  <c r="O305" i="5"/>
  <c r="N303" i="5"/>
  <c r="O303" i="5" s="1"/>
  <c r="L356" i="5"/>
  <c r="O356" i="5" s="1"/>
  <c r="O333" i="5"/>
  <c r="L303" i="4"/>
  <c r="O303" i="4" s="1"/>
  <c r="M72" i="5"/>
  <c r="P72" i="5" s="1"/>
  <c r="O186" i="5"/>
  <c r="P59" i="5"/>
  <c r="L72" i="5"/>
  <c r="O72" i="5" s="1"/>
  <c r="P186" i="5"/>
  <c r="P62" i="5"/>
  <c r="P189" i="5"/>
  <c r="M266" i="5"/>
  <c r="P266" i="5" s="1"/>
  <c r="M157" i="4"/>
  <c r="P157" i="4" s="1"/>
  <c r="L139" i="4"/>
  <c r="O139" i="4" s="1"/>
  <c r="O175" i="5"/>
  <c r="P175" i="5"/>
  <c r="O61" i="5"/>
  <c r="M333" i="5"/>
  <c r="P333" i="5" s="1"/>
  <c r="M24" i="5"/>
  <c r="P24" i="5" s="1"/>
  <c r="O62" i="4"/>
  <c r="O358" i="4"/>
  <c r="N20" i="5"/>
  <c r="N18" i="5" s="1"/>
  <c r="N21" i="5"/>
  <c r="L157" i="5"/>
  <c r="O157" i="5" s="1"/>
  <c r="P306" i="5"/>
  <c r="P139" i="5"/>
  <c r="O74" i="4"/>
  <c r="O46" i="5"/>
  <c r="L266" i="4"/>
  <c r="O266" i="4" s="1"/>
  <c r="O127" i="5"/>
  <c r="L125" i="5"/>
  <c r="O125" i="5" s="1"/>
  <c r="P127" i="5"/>
  <c r="M125" i="5"/>
  <c r="P125" i="5" s="1"/>
  <c r="O23" i="5"/>
  <c r="L20" i="5"/>
  <c r="K82" i="5"/>
  <c r="I70" i="5"/>
  <c r="K70" i="5" s="1"/>
  <c r="O284" i="5"/>
  <c r="L282" i="5"/>
  <c r="O282" i="5" s="1"/>
  <c r="L21" i="5"/>
  <c r="P305" i="5"/>
  <c r="M303" i="5"/>
  <c r="P44" i="5"/>
  <c r="L173" i="5"/>
  <c r="O173" i="5" s="1"/>
  <c r="L139" i="5"/>
  <c r="O139" i="5" s="1"/>
  <c r="O141" i="5"/>
  <c r="P141" i="5"/>
  <c r="O59" i="5"/>
  <c r="P188" i="5"/>
  <c r="O19" i="5"/>
  <c r="M94" i="5"/>
  <c r="P94" i="5" s="1"/>
  <c r="L232" i="5"/>
  <c r="O243" i="5"/>
  <c r="K83" i="5"/>
  <c r="I71" i="5"/>
  <c r="K71" i="5" s="1"/>
  <c r="O26" i="5"/>
  <c r="L24" i="5"/>
  <c r="O24" i="5" s="1"/>
  <c r="P46" i="5"/>
  <c r="O44" i="5"/>
  <c r="M21" i="5"/>
  <c r="M20" i="5"/>
  <c r="P23" i="5"/>
  <c r="O188" i="5"/>
  <c r="P322" i="5"/>
  <c r="M320" i="5"/>
  <c r="P320" i="5" s="1"/>
  <c r="L356" i="4"/>
  <c r="O356" i="4" s="1"/>
  <c r="O335" i="4"/>
  <c r="M72" i="4"/>
  <c r="P72" i="4" s="1"/>
  <c r="L377" i="4"/>
  <c r="O377" i="4" s="1"/>
  <c r="I70" i="2"/>
  <c r="K70" i="2" s="1"/>
  <c r="P175" i="3"/>
  <c r="O46" i="4"/>
  <c r="M94" i="4"/>
  <c r="P94" i="4" s="1"/>
  <c r="P175" i="2"/>
  <c r="P94" i="3"/>
  <c r="P379" i="3"/>
  <c r="I231" i="4"/>
  <c r="K231" i="4" s="1"/>
  <c r="O96" i="3"/>
  <c r="O141" i="3"/>
  <c r="O188" i="4"/>
  <c r="L320" i="4"/>
  <c r="O320" i="4" s="1"/>
  <c r="O175" i="4"/>
  <c r="P61" i="4"/>
  <c r="O284" i="4"/>
  <c r="M266" i="3"/>
  <c r="P266" i="3" s="1"/>
  <c r="P188" i="4"/>
  <c r="N44" i="4"/>
  <c r="P44" i="4" s="1"/>
  <c r="P59" i="4"/>
  <c r="O142" i="1"/>
  <c r="P96" i="3"/>
  <c r="I70" i="4"/>
  <c r="K70" i="4" s="1"/>
  <c r="P46" i="4"/>
  <c r="P358" i="4"/>
  <c r="P359" i="4"/>
  <c r="L282" i="4"/>
  <c r="O159" i="4"/>
  <c r="L157" i="4"/>
  <c r="O157" i="4" s="1"/>
  <c r="O74" i="3"/>
  <c r="N282" i="4"/>
  <c r="P282" i="4" s="1"/>
  <c r="K82" i="3"/>
  <c r="M139" i="4"/>
  <c r="P139" i="4" s="1"/>
  <c r="M333" i="4"/>
  <c r="P333" i="4" s="1"/>
  <c r="M303" i="4"/>
  <c r="P303" i="4" s="1"/>
  <c r="P127" i="4"/>
  <c r="M125" i="4"/>
  <c r="P125" i="4" s="1"/>
  <c r="L232" i="4"/>
  <c r="O243" i="4"/>
  <c r="K83" i="4"/>
  <c r="I71" i="4"/>
  <c r="K71" i="4" s="1"/>
  <c r="O46" i="3"/>
  <c r="P61" i="3"/>
  <c r="L157" i="3"/>
  <c r="O157" i="3" s="1"/>
  <c r="P59" i="3"/>
  <c r="L21" i="4"/>
  <c r="L20" i="4"/>
  <c r="O23" i="4"/>
  <c r="O19" i="4"/>
  <c r="O61" i="4"/>
  <c r="L59" i="4"/>
  <c r="O59" i="4" s="1"/>
  <c r="L24" i="4"/>
  <c r="O24" i="4" s="1"/>
  <c r="M20" i="4"/>
  <c r="P23" i="4"/>
  <c r="P175" i="4"/>
  <c r="O189" i="4"/>
  <c r="O335" i="2"/>
  <c r="P47" i="3"/>
  <c r="N173" i="4"/>
  <c r="M356" i="4"/>
  <c r="P356" i="4" s="1"/>
  <c r="P188" i="2"/>
  <c r="M125" i="3"/>
  <c r="P125" i="3" s="1"/>
  <c r="N20" i="4"/>
  <c r="N18" i="4" s="1"/>
  <c r="N21" i="4"/>
  <c r="P21" i="4" s="1"/>
  <c r="N186" i="4"/>
  <c r="L94" i="4"/>
  <c r="O94" i="4" s="1"/>
  <c r="M24" i="4"/>
  <c r="P24" i="4" s="1"/>
  <c r="M377" i="4"/>
  <c r="P377" i="4" s="1"/>
  <c r="P379" i="4"/>
  <c r="P46" i="3"/>
  <c r="L377" i="3"/>
  <c r="O377" i="3" s="1"/>
  <c r="K242" i="3"/>
  <c r="P186" i="3"/>
  <c r="P285" i="1"/>
  <c r="O214" i="1"/>
  <c r="O142" i="3"/>
  <c r="L94" i="3"/>
  <c r="O94" i="3" s="1"/>
  <c r="M24" i="3"/>
  <c r="P24" i="3" s="1"/>
  <c r="L320" i="3"/>
  <c r="O320" i="3" s="1"/>
  <c r="M356" i="1"/>
  <c r="K82" i="1"/>
  <c r="O175" i="2"/>
  <c r="M282" i="3"/>
  <c r="P282" i="3" s="1"/>
  <c r="M303" i="3"/>
  <c r="P303" i="3" s="1"/>
  <c r="L282" i="3"/>
  <c r="O282" i="3" s="1"/>
  <c r="K83" i="3"/>
  <c r="O305" i="2"/>
  <c r="P335" i="2"/>
  <c r="P75" i="1"/>
  <c r="L125" i="3"/>
  <c r="O125" i="3" s="1"/>
  <c r="N173" i="3"/>
  <c r="O173" i="3" s="1"/>
  <c r="L266" i="3"/>
  <c r="O266" i="3" s="1"/>
  <c r="L139" i="3"/>
  <c r="O139" i="3" s="1"/>
  <c r="I71" i="2"/>
  <c r="K71" i="2" s="1"/>
  <c r="P188" i="3"/>
  <c r="I185" i="3"/>
  <c r="K185" i="3" s="1"/>
  <c r="O175" i="3"/>
  <c r="P74" i="2"/>
  <c r="O358" i="3"/>
  <c r="O160" i="1"/>
  <c r="P159" i="3"/>
  <c r="M157" i="3"/>
  <c r="P157" i="3" s="1"/>
  <c r="L20" i="3"/>
  <c r="L18" i="3" s="1"/>
  <c r="O23" i="3"/>
  <c r="P335" i="3"/>
  <c r="N21" i="3"/>
  <c r="P21" i="3" s="1"/>
  <c r="N20" i="3"/>
  <c r="N18" i="3" s="1"/>
  <c r="M139" i="3"/>
  <c r="P139" i="3" s="1"/>
  <c r="P141" i="3"/>
  <c r="P358" i="3"/>
  <c r="L356" i="3"/>
  <c r="O356" i="3" s="1"/>
  <c r="P23" i="3"/>
  <c r="M20" i="3"/>
  <c r="O26" i="3"/>
  <c r="L24" i="3"/>
  <c r="O24" i="3" s="1"/>
  <c r="I231" i="2"/>
  <c r="K231" i="2" s="1"/>
  <c r="O243" i="3"/>
  <c r="L232" i="3"/>
  <c r="O305" i="3"/>
  <c r="L303" i="3"/>
  <c r="O303" i="3" s="1"/>
  <c r="O47" i="3"/>
  <c r="P44" i="3"/>
  <c r="L186" i="3"/>
  <c r="O186" i="3" s="1"/>
  <c r="O188" i="3"/>
  <c r="O75" i="1"/>
  <c r="O62" i="1"/>
  <c r="P322" i="2"/>
  <c r="K332" i="2"/>
  <c r="M266" i="2"/>
  <c r="P266" i="2" s="1"/>
  <c r="L59" i="3"/>
  <c r="O59" i="3" s="1"/>
  <c r="O61" i="3"/>
  <c r="L44" i="3"/>
  <c r="P356" i="3"/>
  <c r="M333" i="3"/>
  <c r="P333" i="3" s="1"/>
  <c r="P74" i="3"/>
  <c r="M72" i="3"/>
  <c r="P72" i="3" s="1"/>
  <c r="O19" i="3"/>
  <c r="O335" i="3"/>
  <c r="L333" i="3"/>
  <c r="O333" i="3" s="1"/>
  <c r="O72" i="3"/>
  <c r="L24" i="2"/>
  <c r="O24" i="2" s="1"/>
  <c r="O159" i="2"/>
  <c r="O358" i="2"/>
  <c r="O159" i="1"/>
  <c r="O359" i="2"/>
  <c r="I70" i="1"/>
  <c r="K70" i="1" s="1"/>
  <c r="O176" i="1"/>
  <c r="O47" i="1"/>
  <c r="P175" i="1"/>
  <c r="P97" i="1"/>
  <c r="P46" i="1"/>
  <c r="P176" i="1"/>
  <c r="O203" i="1"/>
  <c r="O141" i="1"/>
  <c r="L377" i="2"/>
  <c r="O377" i="2" s="1"/>
  <c r="K332" i="1"/>
  <c r="O74" i="1"/>
  <c r="O97" i="1"/>
  <c r="O46" i="2"/>
  <c r="N320" i="1"/>
  <c r="P305" i="2"/>
  <c r="L377" i="1"/>
  <c r="O377" i="1" s="1"/>
  <c r="P74" i="1"/>
  <c r="N72" i="1"/>
  <c r="P322" i="1"/>
  <c r="N266" i="1"/>
  <c r="L94" i="2"/>
  <c r="O94" i="2" s="1"/>
  <c r="N44" i="1"/>
  <c r="P141" i="1"/>
  <c r="N186" i="2"/>
  <c r="P186" i="2" s="1"/>
  <c r="P59" i="2"/>
  <c r="M27" i="1"/>
  <c r="P27" i="1" s="1"/>
  <c r="P47" i="1"/>
  <c r="M333" i="2"/>
  <c r="P333" i="2" s="1"/>
  <c r="N44" i="2"/>
  <c r="O44" i="2" s="1"/>
  <c r="P336" i="1"/>
  <c r="N24" i="1"/>
  <c r="P359" i="2"/>
  <c r="P359" i="1"/>
  <c r="P19" i="2"/>
  <c r="N20" i="2"/>
  <c r="N18" i="2" s="1"/>
  <c r="N21" i="2"/>
  <c r="P21" i="2" s="1"/>
  <c r="P284" i="2"/>
  <c r="M282" i="2"/>
  <c r="P282" i="2" s="1"/>
  <c r="O322" i="1"/>
  <c r="N320" i="2"/>
  <c r="P320" i="2" s="1"/>
  <c r="L186" i="2"/>
  <c r="O188" i="2"/>
  <c r="O175" i="1"/>
  <c r="P62" i="1"/>
  <c r="O285" i="1"/>
  <c r="P323" i="1"/>
  <c r="N139" i="1"/>
  <c r="L139" i="2"/>
  <c r="O139" i="2" s="1"/>
  <c r="N356" i="2"/>
  <c r="O356" i="2" s="1"/>
  <c r="M125" i="2"/>
  <c r="P125" i="2" s="1"/>
  <c r="P127" i="2"/>
  <c r="P358" i="2"/>
  <c r="L72" i="2"/>
  <c r="O72" i="2" s="1"/>
  <c r="P96" i="2"/>
  <c r="M94" i="2"/>
  <c r="P94" i="2" s="1"/>
  <c r="O284" i="2"/>
  <c r="L282" i="2"/>
  <c r="O282" i="2" s="1"/>
  <c r="P46" i="2"/>
  <c r="M44" i="2"/>
  <c r="L173" i="2"/>
  <c r="O173" i="2" s="1"/>
  <c r="P61" i="2"/>
  <c r="L19" i="1"/>
  <c r="O19" i="1" s="1"/>
  <c r="O96" i="1"/>
  <c r="L266" i="2"/>
  <c r="O266" i="2" s="1"/>
  <c r="O268" i="2"/>
  <c r="L157" i="2"/>
  <c r="O157" i="2" s="1"/>
  <c r="P26" i="2"/>
  <c r="M24" i="2"/>
  <c r="P24" i="2" s="1"/>
  <c r="M20" i="2"/>
  <c r="P23" i="2"/>
  <c r="N173" i="1"/>
  <c r="L356" i="1"/>
  <c r="O323" i="1"/>
  <c r="M139" i="2"/>
  <c r="P139" i="2" s="1"/>
  <c r="P141" i="2"/>
  <c r="P173" i="2"/>
  <c r="L333" i="2"/>
  <c r="O333" i="2" s="1"/>
  <c r="O23" i="2"/>
  <c r="N356" i="1"/>
  <c r="N157" i="1"/>
  <c r="K71" i="1"/>
  <c r="O61" i="2"/>
  <c r="L59" i="2"/>
  <c r="L320" i="2"/>
  <c r="O322" i="2"/>
  <c r="O243" i="2"/>
  <c r="L232" i="2"/>
  <c r="M377" i="2"/>
  <c r="P377" i="2" s="1"/>
  <c r="L20" i="2"/>
  <c r="L21" i="1"/>
  <c r="P23" i="1"/>
  <c r="O378" i="1"/>
  <c r="O188" i="1"/>
  <c r="P358" i="1"/>
  <c r="M333" i="1"/>
  <c r="L94" i="1"/>
  <c r="O222" i="1"/>
  <c r="K83" i="1"/>
  <c r="N59" i="1"/>
  <c r="O46" i="1"/>
  <c r="M377" i="1"/>
  <c r="P377" i="1" s="1"/>
  <c r="O359" i="1"/>
  <c r="L72" i="1"/>
  <c r="O61" i="1"/>
  <c r="M21" i="1"/>
  <c r="O306" i="1"/>
  <c r="M20" i="1"/>
  <c r="N20" i="1"/>
  <c r="P335" i="1"/>
  <c r="M139" i="1"/>
  <c r="O335" i="1"/>
  <c r="P306" i="1"/>
  <c r="N333" i="1"/>
  <c r="P333" i="1" s="1"/>
  <c r="N94" i="1"/>
  <c r="L303" i="1"/>
  <c r="O303" i="1" s="1"/>
  <c r="O304" i="1"/>
  <c r="L282" i="1"/>
  <c r="O283" i="1"/>
  <c r="M59" i="1"/>
  <c r="P61" i="1"/>
  <c r="O189" i="1"/>
  <c r="M44" i="1"/>
  <c r="L24" i="1"/>
  <c r="O24" i="1" s="1"/>
  <c r="P283" i="1"/>
  <c r="M282" i="1"/>
  <c r="O321" i="1"/>
  <c r="L320" i="1"/>
  <c r="P73" i="1"/>
  <c r="M72" i="1"/>
  <c r="N19" i="1"/>
  <c r="N21" i="1"/>
  <c r="M125" i="1"/>
  <c r="P125" i="1" s="1"/>
  <c r="P304" i="1"/>
  <c r="M303" i="1"/>
  <c r="P303" i="1" s="1"/>
  <c r="P158" i="1"/>
  <c r="M157" i="1"/>
  <c r="P157" i="1" s="1"/>
  <c r="M266" i="1"/>
  <c r="P266" i="1" s="1"/>
  <c r="P268" i="1"/>
  <c r="O23" i="1"/>
  <c r="L20" i="1"/>
  <c r="P187" i="1"/>
  <c r="M186" i="1"/>
  <c r="O174" i="1"/>
  <c r="L173" i="1"/>
  <c r="O358" i="1"/>
  <c r="P95" i="1"/>
  <c r="M94" i="1"/>
  <c r="P321" i="1"/>
  <c r="M320" i="1"/>
  <c r="O158" i="1"/>
  <c r="L157" i="1"/>
  <c r="O334" i="1"/>
  <c r="L333" i="1"/>
  <c r="L186" i="1"/>
  <c r="M24" i="1"/>
  <c r="P24" i="1" s="1"/>
  <c r="P25" i="1"/>
  <c r="O126" i="1"/>
  <c r="L125" i="1"/>
  <c r="O125" i="1" s="1"/>
  <c r="O45" i="1"/>
  <c r="L44" i="1"/>
  <c r="I169" i="1"/>
  <c r="K169" i="1" s="1"/>
  <c r="K168" i="1"/>
  <c r="O336" i="1"/>
  <c r="O267" i="1"/>
  <c r="L266" i="1"/>
  <c r="O266" i="1" s="1"/>
  <c r="O140" i="1"/>
  <c r="L139" i="1"/>
  <c r="P174" i="1"/>
  <c r="M173" i="1"/>
  <c r="N186" i="1"/>
  <c r="M19" i="1"/>
  <c r="O60" i="1"/>
  <c r="L59" i="1"/>
  <c r="P96" i="1"/>
  <c r="P173" i="9" l="1"/>
  <c r="P21" i="21"/>
  <c r="P21" i="20"/>
  <c r="O21" i="20"/>
  <c r="P20" i="20"/>
  <c r="L40" i="21"/>
  <c r="O40" i="21" s="1"/>
  <c r="K231" i="21"/>
  <c r="I185" i="21"/>
  <c r="K185" i="21" s="1"/>
  <c r="O20" i="21"/>
  <c r="L18" i="21"/>
  <c r="O18" i="21" s="1"/>
  <c r="P20" i="21"/>
  <c r="M18" i="21"/>
  <c r="P18" i="21" s="1"/>
  <c r="M40" i="21"/>
  <c r="P40" i="21" s="1"/>
  <c r="N40" i="20"/>
  <c r="M18" i="20"/>
  <c r="P18" i="20" s="1"/>
  <c r="O72" i="20"/>
  <c r="P333" i="20"/>
  <c r="P72" i="20"/>
  <c r="L40" i="20"/>
  <c r="P44" i="20"/>
  <c r="M40" i="20"/>
  <c r="I185" i="19"/>
  <c r="K185" i="19" s="1"/>
  <c r="K231" i="20"/>
  <c r="I185" i="20"/>
  <c r="K185" i="20" s="1"/>
  <c r="O20" i="20"/>
  <c r="L18" i="20"/>
  <c r="O18" i="20" s="1"/>
  <c r="I185" i="17"/>
  <c r="K185" i="17" s="1"/>
  <c r="O20" i="19"/>
  <c r="L18" i="19"/>
  <c r="O18" i="19" s="1"/>
  <c r="P20" i="19"/>
  <c r="M18" i="19"/>
  <c r="P18" i="19" s="1"/>
  <c r="L40" i="19"/>
  <c r="O40" i="19" s="1"/>
  <c r="M40" i="19"/>
  <c r="P40" i="19" s="1"/>
  <c r="P21" i="17"/>
  <c r="O44" i="18"/>
  <c r="L40" i="18"/>
  <c r="O40" i="18" s="1"/>
  <c r="P21" i="18"/>
  <c r="K231" i="18"/>
  <c r="I185" i="18"/>
  <c r="K185" i="18" s="1"/>
  <c r="O21" i="18"/>
  <c r="P20" i="18"/>
  <c r="M18" i="18"/>
  <c r="P18" i="18" s="1"/>
  <c r="O20" i="18"/>
  <c r="L18" i="18"/>
  <c r="O18" i="18" s="1"/>
  <c r="P44" i="18"/>
  <c r="M40" i="18"/>
  <c r="P40" i="18" s="1"/>
  <c r="P20" i="17"/>
  <c r="M18" i="17"/>
  <c r="P18" i="17" s="1"/>
  <c r="P44" i="17"/>
  <c r="M40" i="17"/>
  <c r="P40" i="17" s="1"/>
  <c r="O20" i="17"/>
  <c r="L18" i="17"/>
  <c r="O18" i="17" s="1"/>
  <c r="L40" i="17"/>
  <c r="O40" i="17" s="1"/>
  <c r="P356" i="16"/>
  <c r="O186" i="16"/>
  <c r="N40" i="16"/>
  <c r="P173" i="15"/>
  <c r="O356" i="16"/>
  <c r="O20" i="16"/>
  <c r="M40" i="16"/>
  <c r="P20" i="16"/>
  <c r="M18" i="16"/>
  <c r="P18" i="16" s="1"/>
  <c r="L40" i="16"/>
  <c r="O21" i="14"/>
  <c r="O20" i="15"/>
  <c r="L18" i="15"/>
  <c r="O18" i="15" s="1"/>
  <c r="P44" i="15"/>
  <c r="M40" i="15"/>
  <c r="P40" i="15" s="1"/>
  <c r="O21" i="15"/>
  <c r="P21" i="15"/>
  <c r="O59" i="15"/>
  <c r="L40" i="15"/>
  <c r="O40" i="15" s="1"/>
  <c r="P18" i="15"/>
  <c r="P20" i="15"/>
  <c r="O20" i="14"/>
  <c r="P21" i="14"/>
  <c r="P20" i="14"/>
  <c r="M18" i="14"/>
  <c r="P18" i="14" s="1"/>
  <c r="O18" i="13"/>
  <c r="M40" i="14"/>
  <c r="P40" i="14" s="1"/>
  <c r="O59" i="14"/>
  <c r="L40" i="14"/>
  <c r="O40" i="14" s="1"/>
  <c r="L18" i="14"/>
  <c r="O18" i="14" s="1"/>
  <c r="N40" i="13"/>
  <c r="P59" i="14"/>
  <c r="O186" i="13"/>
  <c r="P20" i="13"/>
  <c r="M18" i="13"/>
  <c r="P18" i="13" s="1"/>
  <c r="O20" i="13"/>
  <c r="K231" i="13"/>
  <c r="I185" i="13"/>
  <c r="K185" i="13" s="1"/>
  <c r="O21" i="13"/>
  <c r="L40" i="13"/>
  <c r="P44" i="13"/>
  <c r="M40" i="13"/>
  <c r="P21" i="13"/>
  <c r="O356" i="11"/>
  <c r="P21" i="12"/>
  <c r="O18" i="12"/>
  <c r="O21" i="12"/>
  <c r="O18" i="11"/>
  <c r="P44" i="12"/>
  <c r="M40" i="12"/>
  <c r="P40" i="12" s="1"/>
  <c r="O59" i="12"/>
  <c r="L40" i="12"/>
  <c r="O40" i="12" s="1"/>
  <c r="P44" i="11"/>
  <c r="P20" i="12"/>
  <c r="M18" i="12"/>
  <c r="P18" i="12" s="1"/>
  <c r="O20" i="12"/>
  <c r="K231" i="12"/>
  <c r="I185" i="12"/>
  <c r="K185" i="12" s="1"/>
  <c r="P173" i="10"/>
  <c r="P72" i="11"/>
  <c r="N40" i="11"/>
  <c r="O21" i="11"/>
  <c r="M40" i="11"/>
  <c r="O20" i="10"/>
  <c r="P20" i="11"/>
  <c r="M18" i="11"/>
  <c r="P18" i="11" s="1"/>
  <c r="O20" i="11"/>
  <c r="L40" i="11"/>
  <c r="I185" i="7"/>
  <c r="K185" i="7" s="1"/>
  <c r="L40" i="10"/>
  <c r="P21" i="8"/>
  <c r="P21" i="10"/>
  <c r="N40" i="10"/>
  <c r="O21" i="8"/>
  <c r="O303" i="10"/>
  <c r="O20" i="8"/>
  <c r="P186" i="10"/>
  <c r="O186" i="10"/>
  <c r="K231" i="10"/>
  <c r="I185" i="10"/>
  <c r="K185" i="10" s="1"/>
  <c r="O21" i="10"/>
  <c r="P20" i="10"/>
  <c r="M18" i="10"/>
  <c r="P18" i="10" s="1"/>
  <c r="L18" i="10"/>
  <c r="O18" i="10" s="1"/>
  <c r="P44" i="10"/>
  <c r="M40" i="10"/>
  <c r="O44" i="7"/>
  <c r="N40" i="9"/>
  <c r="P44" i="9"/>
  <c r="M40" i="9"/>
  <c r="O356" i="9"/>
  <c r="P21" i="9"/>
  <c r="O20" i="9"/>
  <c r="L18" i="9"/>
  <c r="O18" i="9" s="1"/>
  <c r="P20" i="9"/>
  <c r="M18" i="9"/>
  <c r="P18" i="9" s="1"/>
  <c r="P139" i="9"/>
  <c r="L40" i="9"/>
  <c r="P282" i="6"/>
  <c r="O18" i="7"/>
  <c r="I185" i="5"/>
  <c r="K185" i="5" s="1"/>
  <c r="K231" i="8"/>
  <c r="I185" i="8"/>
  <c r="K185" i="8" s="1"/>
  <c r="M18" i="8"/>
  <c r="P18" i="8" s="1"/>
  <c r="P20" i="8"/>
  <c r="L40" i="8"/>
  <c r="O40" i="8" s="1"/>
  <c r="P44" i="8"/>
  <c r="M40" i="8"/>
  <c r="P40" i="8" s="1"/>
  <c r="L18" i="8"/>
  <c r="O18" i="8" s="1"/>
  <c r="O21" i="7"/>
  <c r="P21" i="7"/>
  <c r="O173" i="7"/>
  <c r="N40" i="7"/>
  <c r="M40" i="7"/>
  <c r="P20" i="7"/>
  <c r="M18" i="7"/>
  <c r="P18" i="7" s="1"/>
  <c r="O94" i="7"/>
  <c r="L40" i="7"/>
  <c r="O20" i="7"/>
  <c r="P282" i="1"/>
  <c r="O282" i="1"/>
  <c r="P21" i="6"/>
  <c r="P44" i="6"/>
  <c r="P303" i="5"/>
  <c r="O303" i="6"/>
  <c r="N40" i="6"/>
  <c r="O186" i="6"/>
  <c r="M40" i="6"/>
  <c r="O21" i="6"/>
  <c r="O20" i="6"/>
  <c r="L18" i="6"/>
  <c r="O18" i="6" s="1"/>
  <c r="O72" i="6"/>
  <c r="L40" i="6"/>
  <c r="P20" i="6"/>
  <c r="M18" i="6"/>
  <c r="P18" i="6" s="1"/>
  <c r="N40" i="5"/>
  <c r="O20" i="5"/>
  <c r="L18" i="5"/>
  <c r="O18" i="5" s="1"/>
  <c r="N40" i="4"/>
  <c r="P20" i="5"/>
  <c r="M18" i="5"/>
  <c r="P18" i="5" s="1"/>
  <c r="P21" i="5"/>
  <c r="O21" i="5"/>
  <c r="M40" i="5"/>
  <c r="L40" i="5"/>
  <c r="O44" i="4"/>
  <c r="O282" i="4"/>
  <c r="O94" i="1"/>
  <c r="I185" i="4"/>
  <c r="K185" i="4" s="1"/>
  <c r="O20" i="4"/>
  <c r="L40" i="4"/>
  <c r="O40" i="4" s="1"/>
  <c r="P186" i="4"/>
  <c r="N40" i="3"/>
  <c r="P173" i="3"/>
  <c r="O186" i="4"/>
  <c r="M40" i="4"/>
  <c r="O173" i="4"/>
  <c r="P173" i="4"/>
  <c r="P20" i="4"/>
  <c r="M18" i="4"/>
  <c r="P18" i="4" s="1"/>
  <c r="L18" i="4"/>
  <c r="O18" i="4" s="1"/>
  <c r="O21" i="4"/>
  <c r="P356" i="1"/>
  <c r="O21" i="2"/>
  <c r="O333" i="1"/>
  <c r="O356" i="1"/>
  <c r="O18" i="3"/>
  <c r="L40" i="3"/>
  <c r="O44" i="3"/>
  <c r="O20" i="3"/>
  <c r="I185" i="2"/>
  <c r="K185" i="2" s="1"/>
  <c r="P20" i="3"/>
  <c r="M18" i="3"/>
  <c r="P18" i="3" s="1"/>
  <c r="M40" i="3"/>
  <c r="O21" i="3"/>
  <c r="O139" i="1"/>
  <c r="P139" i="1"/>
  <c r="P320" i="1"/>
  <c r="O320" i="1"/>
  <c r="O72" i="1"/>
  <c r="O320" i="2"/>
  <c r="P72" i="1"/>
  <c r="P59" i="1"/>
  <c r="P356" i="2"/>
  <c r="O186" i="2"/>
  <c r="O21" i="1"/>
  <c r="P20" i="2"/>
  <c r="O20" i="2"/>
  <c r="L18" i="2"/>
  <c r="O18" i="2" s="1"/>
  <c r="P44" i="2"/>
  <c r="M40" i="2"/>
  <c r="P173" i="1"/>
  <c r="O59" i="2"/>
  <c r="L40" i="2"/>
  <c r="N40" i="2"/>
  <c r="O59" i="1"/>
  <c r="O157" i="1"/>
  <c r="O173" i="1"/>
  <c r="M18" i="2"/>
  <c r="P18" i="2" s="1"/>
  <c r="N18" i="1"/>
  <c r="O20" i="1"/>
  <c r="O186" i="1"/>
  <c r="N40" i="1"/>
  <c r="P94" i="1"/>
  <c r="P186" i="1"/>
  <c r="P21" i="1"/>
  <c r="L18" i="1"/>
  <c r="P20" i="1"/>
  <c r="L40" i="1"/>
  <c r="O44" i="1"/>
  <c r="M18" i="1"/>
  <c r="P19" i="1"/>
  <c r="M40" i="1"/>
  <c r="P44" i="1"/>
  <c r="O40" i="20" l="1"/>
  <c r="P40" i="20"/>
  <c r="O40" i="16"/>
  <c r="P40" i="16"/>
  <c r="O40" i="13"/>
  <c r="P40" i="13"/>
  <c r="P40" i="10"/>
  <c r="O40" i="11"/>
  <c r="P40" i="11"/>
  <c r="O40" i="10"/>
  <c r="O40" i="9"/>
  <c r="P40" i="9"/>
  <c r="O40" i="7"/>
  <c r="P40" i="7"/>
  <c r="P40" i="6"/>
  <c r="O40" i="6"/>
  <c r="O40" i="5"/>
  <c r="P40" i="5"/>
  <c r="P40" i="3"/>
  <c r="O40" i="3"/>
  <c r="P40" i="4"/>
  <c r="P40" i="2"/>
  <c r="O40" i="2"/>
  <c r="P18" i="1"/>
  <c r="O18" i="1"/>
  <c r="O40" i="1"/>
  <c r="P40" i="1"/>
</calcChain>
</file>

<file path=xl/sharedStrings.xml><?xml version="1.0" encoding="utf-8"?>
<sst xmlns="http://schemas.openxmlformats.org/spreadsheetml/2006/main" count="14026" uniqueCount="182">
  <si>
    <t>รายละเอียดแผนงาน/โครงการ ผลผลิต/กิจกรรม ปีงบประมาณ พ.ศ. 2567</t>
  </si>
  <si>
    <t>รวมภาคตะวันออกเฉียงเหนือ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</si>
  <si>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</si>
  <si>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</si>
  <si>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</si>
  <si>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</si>
  <si>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</si>
  <si>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</si>
  <si>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</si>
  <si>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</si>
  <si>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</si>
  <si>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</si>
  <si>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</si>
  <si>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</si>
  <si>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</si>
  <si>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 ประจำปีงบประมาณ พ.ศ. 2566 ไปพลางก่อน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</si>
  <si>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</si>
  <si>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</si>
  <si>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</si>
  <si>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</si>
  <si>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</si>
  <si>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</si>
  <si>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งบบุคลากร</t>
  </si>
  <si>
    <t>งบประมาณ ประจำปีงบประมาณ พ.ศ. 2566 ไปพลางก่อน</t>
  </si>
  <si>
    <t>แผนงานบุคลากรภาครัฐ</t>
  </si>
  <si>
    <t>รายการบุคลากรภาครัฐ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</si>
  <si>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</si>
  <si>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</si>
  <si>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</si>
  <si>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</si>
  <si>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</si>
  <si>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</si>
  <si>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</si>
  <si>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</si>
  <si>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</si>
  <si>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</si>
  <si>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</si>
  <si>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</si>
  <si>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2567</t>
  </si>
  <si>
    <t xml:space="preserve"> - แปลงใหญ่ ปี 2566</t>
  </si>
  <si>
    <t xml:space="preserve"> - แปลงใหญ่ ปี 2565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</si>
  <si>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</si>
  <si>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</si>
  <si>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</si>
  <si>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</si>
  <si>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ขั้นที่ 1</t>
  </si>
  <si>
    <t>- พื้นที่ที่ได้รับการส่งเสริมเป็นเกษตรทฤษฎีใหม่</t>
  </si>
  <si>
    <t>- เกษตรกรได้รับการส่งเสริมองค์ความรู้เกี่ยวกับเกษตรทฤษฎีใหม่</t>
  </si>
  <si>
    <t>- สนับสนุนปัจจัยการผลิต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</si>
  <si>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</si>
  <si>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</si>
  <si>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</si>
  <si>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</si>
  <si>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</si>
  <si>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แห่ง</t>
  </si>
  <si>
    <t>อบรมเกษตรกร</t>
  </si>
  <si>
    <t>กลุ่ม</t>
  </si>
  <si>
    <t>- การเตรียมการ (การจัดทำฐานข้อมูลสมุนไพรและแผนการผลิต ฯ)</t>
  </si>
  <si>
    <r>
      <rPr>
        <b/>
        <sz val="15"/>
        <color rgb="FF000000"/>
        <rFont val="Arial"/>
      </rPr>
      <t>- หลักสูตรที่ 1</t>
    </r>
    <r>
      <rPr>
        <sz val="15"/>
        <color rgb="FF000000"/>
        <rFont val="Arial"/>
      </rPr>
      <t xml:space="preserve"> การดูแลรักษาโรงอบ ฯ</t>
    </r>
  </si>
  <si>
    <r>
      <rPr>
        <b/>
        <sz val="15"/>
        <color rgb="FF000000"/>
        <rFont val="Arial"/>
      </rPr>
      <t>- หลักสูตรที่ 2</t>
    </r>
    <r>
      <rPr>
        <sz val="15"/>
        <color rgb="FF000000"/>
        <rFont val="Arial"/>
      </rPr>
      <t xml:space="preserve"> การแปรรูปสมุนไพรด้วยโรงอบ ฯ</t>
    </r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</si>
  <si>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</si>
  <si>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</si>
  <si>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</si>
  <si>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(จังหวัด)</t>
  </si>
  <si>
    <t>- เกษตรกรได้รับการตรวจรับรองมาตรฐาน GAP (ส่วนกลาง)</t>
  </si>
  <si>
    <t>- เกษตรกรได้การรับรองสินค้าตามมาตรฐาน GAP (ส่วนกลาง)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</si>
  <si>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</si>
  <si>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</si>
  <si>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</si>
  <si>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>- หลักสูตรศิลปาชีพเพื่อเกษตรในเขตปฏิรูปที่ดิน (ระยะสั้น) โดยจังหวัด</t>
  </si>
  <si>
    <t>- หลักสูตรศิลปาชีพเพื่อผู้สนใจ (ระยะยาว) โดย ศพส.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</si>
  <si>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</si>
  <si>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</si>
  <si>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</si>
  <si>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</si>
  <si>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</si>
  <si>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</si>
  <si>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</si>
  <si>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</si>
  <si>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</si>
  <si>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</si>
  <si>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ค่าเบี้ยเลี้ยง/ที่พัก/พาหนะ</t>
  </si>
  <si>
    <t>- งบอบรม</t>
  </si>
  <si>
    <t>- ค่าวัสดุการเกษตร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</si>
  <si>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</si>
  <si>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</si>
  <si>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</si>
  <si>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</si>
  <si>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</si>
  <si>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วัสดุการเกษตร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</si>
  <si>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</si>
  <si>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</si>
  <si>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</si>
  <si>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</si>
  <si>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</si>
  <si>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</si>
  <si>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</si>
  <si>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</si>
  <si>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</si>
  <si>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</si>
  <si>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</si>
  <si>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>- งบปัจจัยต้นแบบ/ศูนย์/กิจกรรม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</si>
  <si>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</si>
  <si>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</si>
  <si>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</si>
  <si>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</si>
  <si>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</si>
  <si>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</si>
  <si>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</si>
  <si>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หลักสูตรการพัฒนาภาวะผู้นำแก่ผู้นำเกษตรกร (สพท.)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</si>
  <si>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</si>
  <si>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</si>
  <si>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</si>
  <si>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</si>
  <si>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</t>
  </si>
  <si>
    <r>
      <rPr>
        <b/>
        <sz val="15"/>
        <color rgb="FF000000"/>
        <rFont val="Arial"/>
      </rPr>
      <t xml:space="preserve">หลักสูตร </t>
    </r>
    <r>
      <rPr>
        <sz val="15"/>
        <color rgb="FF000000"/>
        <rFont val="Arial"/>
      </rPr>
      <t>แนวทางการเฝ้าระวังการเผาไหม้ฯ</t>
    </r>
  </si>
  <si>
    <r>
      <rPr>
        <sz val="15"/>
        <color rgb="FF000000"/>
        <rFont val="Arial"/>
      </rPr>
      <t xml:space="preserve">- เกษตรกรที่เข้าร่วมโครงการ </t>
    </r>
    <r>
      <rPr>
        <b/>
        <sz val="15"/>
        <color rgb="FF000000"/>
        <rFont val="Arial"/>
      </rPr>
      <t>ทั้งหมด</t>
    </r>
  </si>
  <si>
    <r>
      <rPr>
        <sz val="15"/>
        <color rgb="FF000000"/>
        <rFont val="Arial"/>
      </rPr>
      <t xml:space="preserve">- เกษตรกร </t>
    </r>
    <r>
      <rPr>
        <b/>
        <sz val="15"/>
        <color rgb="FF000000"/>
        <rFont val="Arial"/>
      </rPr>
      <t>เฉพาะ</t>
    </r>
    <r>
      <rPr>
        <sz val="15"/>
        <color rgb="FF000000"/>
        <rFont val="Arial"/>
      </rPr>
      <t xml:space="preserve"> ที่ได้รับการอบรม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</si>
  <si>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</si>
  <si>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</si>
  <si>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</si>
  <si>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</si>
  <si>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ผู้ประกอบการต้นแบบ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</si>
  <si>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</si>
  <si>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</si>
  <si>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</si>
  <si>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</si>
  <si>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</si>
  <si>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</si>
  <si>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</si>
  <si>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ให้บริการเกษตรกรด้านอื่น ๆ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</si>
  <si>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</si>
  <si>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</si>
  <si>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</si>
  <si>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</si>
  <si>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</si>
  <si>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ผู้รับบริการจากระบบออนไลน์</t>
  </si>
  <si>
    <t>- ผู้รับบริการจากการออกรับบริการร่วมกับหน่วยงานภายนอกอื่น ๆ</t>
  </si>
  <si>
    <t>ให้บริการรับคำร้องแสดงความประสงค์ขอออกโฉนดเพื่อการเกษตร</t>
  </si>
  <si>
    <t>- เจ้าหน้าที่ยังไม่ได้รับเรื่อง</t>
  </si>
  <si>
    <t>- อยู่ระหว่างตรวจสอบตามขั้นตอนออกโฉนด (ขั้นตอน 1-10)</t>
  </si>
  <si>
    <t>กิจกรรมจัดที่ดิน</t>
  </si>
  <si>
    <t>จัดที่ดิน แปลงเกษตรกรรม</t>
  </si>
  <si>
    <t>- รังวัด</t>
  </si>
  <si>
    <t>- สอบสวนสิทธิ</t>
  </si>
  <si>
    <t>- มอบ ส.ป.ก. 4-01 (ภายใน พ.ค.67)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</si>
  <si>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</si>
  <si>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</si>
  <si>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</si>
  <si>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</si>
  <si>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</si>
  <si>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หมายเหตุ :</t>
  </si>
  <si>
    <r>
      <rPr>
        <sz val="15"/>
        <color theme="1"/>
        <rFont val="Arial"/>
      </rPr>
      <t xml:space="preserve">- เกษตรกร </t>
    </r>
    <r>
      <rPr>
        <b/>
        <sz val="15"/>
        <color theme="1"/>
        <rFont val="Arial"/>
      </rPr>
      <t>เฉพาะ</t>
    </r>
    <r>
      <rPr>
        <sz val="15"/>
        <color theme="1"/>
        <rFont val="Arial"/>
      </rPr>
      <t xml:space="preserve"> ที่ได้รับการอบรม</t>
    </r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</si>
  <si>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theme="1"/>
        <rFont val="Arial"/>
      </rPr>
      <t>ทั้งหมด</t>
    </r>
  </si>
  <si>
    <r>
      <rPr>
        <b/>
        <sz val="15"/>
        <color theme="1"/>
        <rFont val="Arial"/>
      </rPr>
      <t xml:space="preserve">หลักสูตร </t>
    </r>
    <r>
      <rPr>
        <sz val="15"/>
        <color theme="1"/>
        <rFont val="Arial"/>
      </rPr>
      <t>แนวทางการเฝ้าระวังการเผาไหม้ฯ</t>
    </r>
  </si>
  <si>
    <t>- ค่าใช้จ่ายในการปฏิบัติงาน</t>
  </si>
  <si>
    <t>- ค่าใช้จ่ายในการบริหารงาน</t>
  </si>
  <si>
    <t>- งบบริหารโครงการ</t>
  </si>
  <si>
    <r>
      <rPr>
        <b/>
        <sz val="15"/>
        <color theme="1"/>
        <rFont val="Arial"/>
      </rPr>
      <t>- หลักสูตรที่ 2</t>
    </r>
    <r>
      <rPr>
        <b/>
        <sz val="15"/>
        <color theme="1"/>
        <rFont val="Arial"/>
      </rPr>
      <t xml:space="preserve"> การแปรรูปสมุนไพรด้วยโรงอบ ฯ</t>
    </r>
  </si>
  <si>
    <r>
      <rPr>
        <b/>
        <sz val="15"/>
        <color theme="1"/>
        <rFont val="Arial"/>
      </rPr>
      <t>- หลักสูตรที่ 1</t>
    </r>
    <r>
      <rPr>
        <b/>
        <sz val="15"/>
        <color theme="1"/>
        <rFont val="Arial"/>
      </rPr>
      <t xml:space="preserve"> การดูแลรักษาโรงอบ ฯ</t>
    </r>
  </si>
  <si>
    <t>สำนักงานการปฏิรูปที่ดินจังหวัด กาฬสินธุ์</t>
  </si>
  <si>
    <t>สำนักงานการปฏิรูปที่ดินจังหวัด ขอนแก่น</t>
  </si>
  <si>
    <t>สำนักงานการปฏิรูปที่ดินจังหวัด ชัยภูมิ</t>
  </si>
  <si>
    <t>สำนักงานการปฏิรูปที่ดินจังหวัด นครพนม</t>
  </si>
  <si>
    <t>สำนักงานการปฏิรูปที่ดินจังหวัด นครราชสีมา</t>
  </si>
  <si>
    <t>สำนักงานการปฏิรูปที่ดินจังหวัด บึงกาฬ</t>
  </si>
  <si>
    <t>สำนักงานการปฏิรูปที่ดินจังหวัด บุรีรัมย์</t>
  </si>
  <si>
    <t>สำนักงานการปฏิรูปที่ดินจังหวัด มหาสารคาม</t>
  </si>
  <si>
    <t>สำนักงานการปฏิรูปที่ดินจังหวัด มุกดาหาร</t>
  </si>
  <si>
    <t>สำนักงานการปฏิรูปที่ดินจังหวัด ยโสธร</t>
  </si>
  <si>
    <t>สำนักงานการปฏิรูปที่ดินจังหวัด ร้อยเอ็ด</t>
  </si>
  <si>
    <t>สำนักงานการปฏิรูปที่ดินจังหวัด เลย</t>
  </si>
  <si>
    <t>สำนักงานการปฏิรูปที่ดินจังหวัด ศรีสะเกษ</t>
  </si>
  <si>
    <t>(5) โครงการขยายผลฟาร์มตัวอย่างคำตากล้าฯ</t>
  </si>
  <si>
    <t>สำนักงานการปฏิรูปที่ดินจังหวัด สกลนคร</t>
  </si>
  <si>
    <t>สำนักงานการปฏิรูปที่ดินจังหวัด สุรินทร์</t>
  </si>
  <si>
    <t>สำนักงานการปฏิรูปที่ดินจังหวัด หนองคาย</t>
  </si>
  <si>
    <t>สำนักงานการปฏิรูปที่ดินจังหวัด หนองบัวลำภู</t>
  </si>
  <si>
    <t>สำนักงานการปฏิรูปที่ดินจังหวัด อำนาจเจริญ</t>
  </si>
  <si>
    <t>สำนักงานการปฏิรูปที่ดินจังหวัด อุดรธานี</t>
  </si>
  <si>
    <t>(5) โครงการพัฒนาพื้นที่ชายแดน</t>
  </si>
  <si>
    <t>สำนักงานการปฏิรูปที่ดินจังหวัด 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</si>
</sst>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</numFmts>
  <fonts count="42" x14ac:knownFonts="1">
    <font>
      <sz val="10"/>
      <color rgb="FF000000"/>
      <name val="Arial"/>
      <scheme val="minor"/>
    </font>
    <font>
      <b/>
      <sz val="15"/>
      <color rgb="FF000000"/>
      <name val="Arial"/>
    </font>
    <font>
      <sz val="10"/>
      <color rgb="FF000000"/>
      <name val="Arial"/>
    </font>
    <font>
      <sz val="10"/>
      <name val="Arial"/>
    </font>
    <font>
      <b/>
      <u/>
      <sz val="15"/>
      <color rgb="FF000000"/>
      <name val="Arial"/>
    </font>
    <font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sz val="10"/>
      <color rgb="FFFF0000"/>
      <name val="Arial"/>
    </font>
    <font>
      <sz val="15"/>
      <color rgb="FFFF0000"/>
      <name val="Arial"/>
    </font>
    <font>
      <b/>
      <sz val="15"/>
      <color rgb="FFFF0000"/>
      <name val="Arial"/>
    </font>
    <font>
      <sz val="14"/>
      <color rgb="FFFF0000"/>
      <name val="Arial"/>
    </font>
    <font>
      <sz val="13"/>
      <color rgb="FFFF0000"/>
      <name val="Arial"/>
    </font>
    <font>
      <i/>
      <sz val="15"/>
      <color rgb="FFFF0000"/>
      <name val="Arial"/>
    </font>
    <font>
      <b/>
      <u/>
      <sz val="15"/>
      <color rgb="FF000000"/>
      <name val="Arial"/>
    </font>
    <font>
      <sz val="15"/>
      <color theme="1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sz val="14"/>
      <color rgb="FF000000"/>
      <name val="Arial"/>
    </font>
    <font>
      <b/>
      <sz val="15"/>
      <color rgb="FFFFFFFF"/>
      <name val="Arial"/>
    </font>
    <font>
      <sz val="10"/>
      <color rgb="FFFFFFFF"/>
      <name val="Arial"/>
    </font>
    <font>
      <b/>
      <sz val="15"/>
      <color theme="1"/>
      <name val="Arial"/>
    </font>
    <font>
      <sz val="10"/>
      <color theme="1"/>
      <name val="Arial"/>
    </font>
    <font>
      <b/>
      <u/>
      <sz val="15"/>
      <color theme="1"/>
      <name val="Arial"/>
    </font>
    <font>
      <i/>
      <sz val="13"/>
      <color theme="1"/>
      <name val="Arial"/>
    </font>
    <font>
      <b/>
      <u/>
      <sz val="15"/>
      <color theme="1"/>
      <name val="Arial"/>
    </font>
    <font>
      <b/>
      <u/>
      <sz val="15"/>
      <color rgb="FF000000"/>
      <name val="Arial"/>
    </font>
    <font>
      <sz val="13"/>
      <color rgb="FF000000"/>
      <name val="Arial"/>
    </font>
    <font>
      <i/>
      <sz val="15"/>
      <color rgb="FF000000"/>
      <name val="Arial"/>
    </font>
    <font>
      <i/>
      <sz val="13"/>
      <color rgb="FF000000"/>
      <name val="Arial"/>
    </font>
    <font>
      <sz val="10"/>
      <color rgb="FF000000"/>
      <name val="Arial"/>
      <scheme val="minor"/>
    </font>
    <font>
      <i/>
      <sz val="13"/>
      <color rgb="FF000000"/>
      <name val="Arial"/>
      <scheme val="minor"/>
    </font>
    <font>
      <u/>
      <sz val="15"/>
      <color rgb="FFFF0000"/>
      <name val="Arial"/>
    </font>
    <font>
      <u/>
      <sz val="15"/>
      <color theme="1"/>
      <name val="Arial"/>
    </font>
    <font>
      <sz val="10"/>
      <color theme="1"/>
      <name val="Arial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99999"/>
        <bgColor rgb="FF999999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B7B7B7"/>
        <bgColor rgb="FFB7B7B7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70">
    <xf numFmtId="0" fontId="0" fillId="0" borderId="0" xfId="0" applyFont="1" applyAlignment="1"/>
    <xf numFmtId="0" fontId="2" fillId="2" borderId="0" xfId="0" applyFont="1" applyFill="1" applyAlignment="1"/>
    <xf numFmtId="187" fontId="2" fillId="2" borderId="0" xfId="0" applyNumberFormat="1" applyFont="1" applyFill="1" applyAlignment="1"/>
    <xf numFmtId="188" fontId="2" fillId="2" borderId="0" xfId="0" applyNumberFormat="1" applyFont="1" applyFill="1" applyAlignment="1"/>
    <xf numFmtId="0" fontId="1" fillId="3" borderId="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188" fontId="1" fillId="4" borderId="12" xfId="0" applyNumberFormat="1" applyFont="1" applyFill="1" applyBorder="1" applyAlignment="1">
      <alignment horizontal="center"/>
    </xf>
    <xf numFmtId="187" fontId="1" fillId="4" borderId="12" xfId="0" applyNumberFormat="1" applyFont="1" applyFill="1" applyBorder="1" applyAlignment="1">
      <alignment horizontal="center" wrapText="1"/>
    </xf>
    <xf numFmtId="188" fontId="1" fillId="5" borderId="12" xfId="0" applyNumberFormat="1" applyFont="1" applyFill="1" applyBorder="1" applyAlignment="1">
      <alignment horizontal="center" wrapText="1"/>
    </xf>
    <xf numFmtId="188" fontId="1" fillId="7" borderId="12" xfId="0" applyNumberFormat="1" applyFont="1" applyFill="1" applyBorder="1" applyAlignment="1">
      <alignment horizontal="center" wrapText="1"/>
    </xf>
    <xf numFmtId="188" fontId="1" fillId="6" borderId="12" xfId="0" applyNumberFormat="1" applyFont="1" applyFill="1" applyBorder="1" applyAlignment="1">
      <alignment horizontal="center"/>
    </xf>
    <xf numFmtId="188" fontId="1" fillId="5" borderId="12" xfId="0" applyNumberFormat="1" applyFont="1" applyFill="1" applyBorder="1" applyAlignment="1">
      <alignment horizontal="center"/>
    </xf>
    <xf numFmtId="188" fontId="1" fillId="7" borderId="12" xfId="0" applyNumberFormat="1" applyFont="1" applyFill="1" applyBorder="1" applyAlignment="1">
      <alignment horizontal="center"/>
    </xf>
    <xf numFmtId="0" fontId="2" fillId="8" borderId="12" xfId="0" applyFont="1" applyFill="1" applyBorder="1" applyAlignment="1"/>
    <xf numFmtId="189" fontId="2" fillId="8" borderId="12" xfId="0" applyNumberFormat="1" applyFont="1" applyFill="1" applyBorder="1" applyAlignment="1"/>
    <xf numFmtId="188" fontId="2" fillId="8" borderId="12" xfId="0" applyNumberFormat="1" applyFont="1" applyFill="1" applyBorder="1" applyAlignment="1"/>
    <xf numFmtId="0" fontId="2" fillId="8" borderId="13" xfId="0" applyFont="1" applyFill="1" applyBorder="1" applyAlignment="1"/>
    <xf numFmtId="0" fontId="2" fillId="8" borderId="14" xfId="0" applyFont="1" applyFill="1" applyBorder="1" applyAlignment="1"/>
    <xf numFmtId="0" fontId="1" fillId="8" borderId="14" xfId="0" applyFont="1" applyFill="1" applyBorder="1" applyAlignment="1"/>
    <xf numFmtId="0" fontId="4" fillId="8" borderId="14" xfId="0" applyFont="1" applyFill="1" applyBorder="1" applyAlignment="1"/>
    <xf numFmtId="0" fontId="2" fillId="8" borderId="15" xfId="0" applyFont="1" applyFill="1" applyBorder="1" applyAlignment="1"/>
    <xf numFmtId="0" fontId="1" fillId="8" borderId="15" xfId="0" applyFont="1" applyFill="1" applyBorder="1" applyAlignment="1">
      <alignment horizontal="center"/>
    </xf>
    <xf numFmtId="189" fontId="2" fillId="8" borderId="15" xfId="0" applyNumberFormat="1" applyFont="1" applyFill="1" applyBorder="1" applyAlignment="1"/>
    <xf numFmtId="188" fontId="2" fillId="8" borderId="15" xfId="0" applyNumberFormat="1" applyFont="1" applyFill="1" applyBorder="1" applyAlignment="1"/>
    <xf numFmtId="188" fontId="1" fillId="8" borderId="15" xfId="0" applyNumberFormat="1" applyFont="1" applyFill="1" applyBorder="1" applyAlignment="1">
      <alignment horizontal="right"/>
    </xf>
    <xf numFmtId="0" fontId="5" fillId="8" borderId="14" xfId="0" applyFont="1" applyFill="1" applyBorder="1" applyAlignment="1"/>
    <xf numFmtId="0" fontId="5" fillId="8" borderId="15" xfId="0" applyFont="1" applyFill="1" applyBorder="1" applyAlignment="1">
      <alignment horizontal="center"/>
    </xf>
    <xf numFmtId="188" fontId="5" fillId="8" borderId="15" xfId="0" applyNumberFormat="1" applyFont="1" applyFill="1" applyBorder="1" applyAlignment="1">
      <alignment horizontal="right"/>
    </xf>
    <xf numFmtId="0" fontId="6" fillId="8" borderId="14" xfId="0" applyFont="1" applyFill="1" applyBorder="1" applyAlignment="1"/>
    <xf numFmtId="0" fontId="2" fillId="8" borderId="8" xfId="0" applyFont="1" applyFill="1" applyBorder="1" applyAlignment="1"/>
    <xf numFmtId="0" fontId="2" fillId="8" borderId="9" xfId="0" applyFont="1" applyFill="1" applyBorder="1" applyAlignment="1"/>
    <xf numFmtId="0" fontId="5" fillId="8" borderId="9" xfId="0" applyFont="1" applyFill="1" applyBorder="1" applyAlignment="1"/>
    <xf numFmtId="0" fontId="2" fillId="8" borderId="10" xfId="0" applyFont="1" applyFill="1" applyBorder="1" applyAlignment="1"/>
    <xf numFmtId="0" fontId="5" fillId="8" borderId="10" xfId="0" applyFont="1" applyFill="1" applyBorder="1" applyAlignment="1">
      <alignment horizontal="center"/>
    </xf>
    <xf numFmtId="189" fontId="2" fillId="8" borderId="10" xfId="0" applyNumberFormat="1" applyFont="1" applyFill="1" applyBorder="1" applyAlignment="1"/>
    <xf numFmtId="188" fontId="2" fillId="8" borderId="10" xfId="0" applyNumberFormat="1" applyFont="1" applyFill="1" applyBorder="1" applyAlignment="1"/>
    <xf numFmtId="188" fontId="5" fillId="8" borderId="10" xfId="0" applyNumberFormat="1" applyFont="1" applyFill="1" applyBorder="1" applyAlignment="1">
      <alignment horizontal="right"/>
    </xf>
    <xf numFmtId="0" fontId="2" fillId="9" borderId="10" xfId="0" applyFont="1" applyFill="1" applyBorder="1" applyAlignment="1"/>
    <xf numFmtId="189" fontId="2" fillId="9" borderId="10" xfId="0" applyNumberFormat="1" applyFont="1" applyFill="1" applyBorder="1" applyAlignment="1"/>
    <xf numFmtId="188" fontId="2" fillId="9" borderId="10" xfId="0" applyNumberFormat="1" applyFont="1" applyFill="1" applyBorder="1" applyAlignment="1"/>
    <xf numFmtId="0" fontId="2" fillId="10" borderId="13" xfId="0" applyFont="1" applyFill="1" applyBorder="1" applyAlignment="1"/>
    <xf numFmtId="0" fontId="2" fillId="10" borderId="14" xfId="0" applyFont="1" applyFill="1" applyBorder="1" applyAlignment="1"/>
    <xf numFmtId="0" fontId="1" fillId="10" borderId="14" xfId="0" applyFont="1" applyFill="1" applyBorder="1" applyAlignment="1"/>
    <xf numFmtId="0" fontId="7" fillId="10" borderId="14" xfId="0" applyFont="1" applyFill="1" applyBorder="1" applyAlignment="1"/>
    <xf numFmtId="0" fontId="2" fillId="10" borderId="15" xfId="0" applyFont="1" applyFill="1" applyBorder="1" applyAlignment="1"/>
    <xf numFmtId="0" fontId="1" fillId="10" borderId="15" xfId="0" applyFont="1" applyFill="1" applyBorder="1" applyAlignment="1">
      <alignment horizontal="center"/>
    </xf>
    <xf numFmtId="189" fontId="2" fillId="10" borderId="15" xfId="0" applyNumberFormat="1" applyFont="1" applyFill="1" applyBorder="1" applyAlignment="1"/>
    <xf numFmtId="188" fontId="2" fillId="10" borderId="15" xfId="0" applyNumberFormat="1" applyFont="1" applyFill="1" applyBorder="1" applyAlignment="1"/>
    <xf numFmtId="188" fontId="1" fillId="10" borderId="15" xfId="0" applyNumberFormat="1" applyFont="1" applyFill="1" applyBorder="1" applyAlignment="1">
      <alignment horizontal="right"/>
    </xf>
    <xf numFmtId="0" fontId="5" fillId="10" borderId="14" xfId="0" applyFont="1" applyFill="1" applyBorder="1" applyAlignment="1"/>
    <xf numFmtId="0" fontId="5" fillId="10" borderId="15" xfId="0" applyFont="1" applyFill="1" applyBorder="1" applyAlignment="1">
      <alignment horizontal="center"/>
    </xf>
    <xf numFmtId="188" fontId="5" fillId="10" borderId="15" xfId="0" applyNumberFormat="1" applyFont="1" applyFill="1" applyBorder="1" applyAlignment="1">
      <alignment horizontal="right"/>
    </xf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0" fontId="8" fillId="2" borderId="14" xfId="0" applyFont="1" applyFill="1" applyBorder="1" applyAlignment="1"/>
    <xf numFmtId="0" fontId="2" fillId="2" borderId="15" xfId="0" applyFont="1" applyFill="1" applyBorder="1" applyAlignment="1"/>
    <xf numFmtId="0" fontId="5" fillId="2" borderId="15" xfId="0" applyFont="1" applyFill="1" applyBorder="1" applyAlignment="1">
      <alignment horizontal="center"/>
    </xf>
    <xf numFmtId="189" fontId="2" fillId="2" borderId="15" xfId="0" applyNumberFormat="1" applyFont="1" applyFill="1" applyBorder="1" applyAlignment="1"/>
    <xf numFmtId="188" fontId="2" fillId="2" borderId="15" xfId="0" applyNumberFormat="1" applyFont="1" applyFill="1" applyBorder="1" applyAlignment="1"/>
    <xf numFmtId="188" fontId="5" fillId="2" borderId="15" xfId="0" applyNumberFormat="1" applyFont="1" applyFill="1" applyBorder="1" applyAlignment="1">
      <alignment horizontal="right"/>
    </xf>
    <xf numFmtId="0" fontId="5" fillId="2" borderId="14" xfId="0" applyFont="1" applyFill="1" applyBorder="1" applyAlignment="1"/>
    <xf numFmtId="188" fontId="5" fillId="2" borderId="15" xfId="0" applyNumberFormat="1" applyFont="1" applyFill="1" applyBorder="1" applyAlignment="1">
      <alignment horizontal="right"/>
    </xf>
    <xf numFmtId="0" fontId="2" fillId="2" borderId="16" xfId="0" applyFont="1" applyFill="1" applyBorder="1" applyAlignment="1"/>
    <xf numFmtId="0" fontId="2" fillId="2" borderId="17" xfId="0" applyFont="1" applyFill="1" applyBorder="1" applyAlignment="1"/>
    <xf numFmtId="0" fontId="9" fillId="2" borderId="17" xfId="0" applyFont="1" applyFill="1" applyBorder="1" applyAlignment="1"/>
    <xf numFmtId="0" fontId="2" fillId="2" borderId="18" xfId="0" applyFont="1" applyFill="1" applyBorder="1" applyAlignment="1"/>
    <xf numFmtId="0" fontId="5" fillId="2" borderId="18" xfId="0" applyFont="1" applyFill="1" applyBorder="1" applyAlignment="1">
      <alignment horizontal="center"/>
    </xf>
    <xf numFmtId="189" fontId="2" fillId="2" borderId="18" xfId="0" applyNumberFormat="1" applyFont="1" applyFill="1" applyBorder="1" applyAlignment="1"/>
    <xf numFmtId="188" fontId="2" fillId="2" borderId="18" xfId="0" applyNumberFormat="1" applyFont="1" applyFill="1" applyBorder="1" applyAlignment="1"/>
    <xf numFmtId="188" fontId="5" fillId="2" borderId="18" xfId="0" applyNumberFormat="1" applyFont="1" applyFill="1" applyBorder="1" applyAlignment="1">
      <alignment horizontal="right"/>
    </xf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5" fillId="2" borderId="9" xfId="0" applyFont="1" applyFill="1" applyBorder="1" applyAlignment="1"/>
    <xf numFmtId="0" fontId="2" fillId="2" borderId="10" xfId="0" applyFont="1" applyFill="1" applyBorder="1" applyAlignment="1"/>
    <xf numFmtId="0" fontId="5" fillId="2" borderId="10" xfId="0" applyFont="1" applyFill="1" applyBorder="1" applyAlignment="1">
      <alignment horizontal="center"/>
    </xf>
    <xf numFmtId="189" fontId="2" fillId="2" borderId="10" xfId="0" applyNumberFormat="1" applyFont="1" applyFill="1" applyBorder="1" applyAlignment="1"/>
    <xf numFmtId="188" fontId="2" fillId="2" borderId="10" xfId="0" applyNumberFormat="1" applyFont="1" applyFill="1" applyBorder="1" applyAlignment="1"/>
    <xf numFmtId="188" fontId="5" fillId="2" borderId="10" xfId="0" applyNumberFormat="1" applyFont="1" applyFill="1" applyBorder="1" applyAlignment="1">
      <alignment horizontal="right"/>
    </xf>
    <xf numFmtId="0" fontId="1" fillId="11" borderId="19" xfId="0" applyFont="1" applyFill="1" applyBorder="1" applyAlignment="1"/>
    <xf numFmtId="0" fontId="2" fillId="11" borderId="0" xfId="0" applyFont="1" applyFill="1" applyAlignment="1"/>
    <xf numFmtId="0" fontId="2" fillId="11" borderId="20" xfId="0" applyFont="1" applyFill="1" applyBorder="1" applyAlignment="1"/>
    <xf numFmtId="189" fontId="2" fillId="11" borderId="20" xfId="0" applyNumberFormat="1" applyFont="1" applyFill="1" applyBorder="1" applyAlignment="1"/>
    <xf numFmtId="188" fontId="2" fillId="11" borderId="20" xfId="0" applyNumberFormat="1" applyFont="1" applyFill="1" applyBorder="1" applyAlignment="1"/>
    <xf numFmtId="188" fontId="1" fillId="11" borderId="20" xfId="0" applyNumberFormat="1" applyFont="1" applyFill="1" applyBorder="1" applyAlignment="1">
      <alignment horizontal="right"/>
    </xf>
    <xf numFmtId="0" fontId="1" fillId="12" borderId="5" xfId="0" applyFont="1" applyFill="1" applyBorder="1" applyAlignment="1"/>
    <xf numFmtId="0" fontId="2" fillId="12" borderId="6" xfId="0" applyFont="1" applyFill="1" applyBorder="1" applyAlignment="1"/>
    <xf numFmtId="189" fontId="2" fillId="12" borderId="6" xfId="0" applyNumberFormat="1" applyFont="1" applyFill="1" applyBorder="1" applyAlignment="1"/>
    <xf numFmtId="188" fontId="2" fillId="12" borderId="6" xfId="0" applyNumberFormat="1" applyFont="1" applyFill="1" applyBorder="1" applyAlignment="1"/>
    <xf numFmtId="188" fontId="2" fillId="12" borderId="7" xfId="0" applyNumberFormat="1" applyFont="1" applyFill="1" applyBorder="1" applyAlignment="1"/>
    <xf numFmtId="0" fontId="2" fillId="13" borderId="14" xfId="0" applyFont="1" applyFill="1" applyBorder="1" applyAlignment="1"/>
    <xf numFmtId="0" fontId="1" fillId="13" borderId="14" xfId="0" applyFont="1" applyFill="1" applyBorder="1" applyAlignment="1"/>
    <xf numFmtId="0" fontId="2" fillId="13" borderId="21" xfId="0" applyFont="1" applyFill="1" applyBorder="1" applyAlignment="1"/>
    <xf numFmtId="189" fontId="2" fillId="13" borderId="21" xfId="0" applyNumberFormat="1" applyFont="1" applyFill="1" applyBorder="1" applyAlignment="1"/>
    <xf numFmtId="188" fontId="2" fillId="13" borderId="21" xfId="0" applyNumberFormat="1" applyFont="1" applyFill="1" applyBorder="1" applyAlignment="1"/>
    <xf numFmtId="0" fontId="2" fillId="14" borderId="13" xfId="0" applyFont="1" applyFill="1" applyBorder="1" applyAlignment="1"/>
    <xf numFmtId="0" fontId="2" fillId="14" borderId="14" xfId="0" applyFont="1" applyFill="1" applyBorder="1" applyAlignment="1"/>
    <xf numFmtId="0" fontId="1" fillId="14" borderId="14" xfId="0" applyFont="1" applyFill="1" applyBorder="1" applyAlignment="1"/>
    <xf numFmtId="0" fontId="10" fillId="14" borderId="14" xfId="0" applyFont="1" applyFill="1" applyBorder="1" applyAlignment="1"/>
    <xf numFmtId="0" fontId="2" fillId="14" borderId="15" xfId="0" applyFont="1" applyFill="1" applyBorder="1" applyAlignment="1"/>
    <xf numFmtId="0" fontId="1" fillId="14" borderId="15" xfId="0" applyFont="1" applyFill="1" applyBorder="1" applyAlignment="1">
      <alignment horizontal="center"/>
    </xf>
    <xf numFmtId="189" fontId="2" fillId="14" borderId="15" xfId="0" applyNumberFormat="1" applyFont="1" applyFill="1" applyBorder="1" applyAlignment="1"/>
    <xf numFmtId="188" fontId="2" fillId="14" borderId="15" xfId="0" applyNumberFormat="1" applyFont="1" applyFill="1" applyBorder="1" applyAlignment="1"/>
    <xf numFmtId="188" fontId="1" fillId="14" borderId="15" xfId="0" applyNumberFormat="1" applyFont="1" applyFill="1" applyBorder="1" applyAlignment="1">
      <alignment horizontal="right"/>
    </xf>
    <xf numFmtId="0" fontId="5" fillId="14" borderId="14" xfId="0" applyFont="1" applyFill="1" applyBorder="1" applyAlignment="1"/>
    <xf numFmtId="0" fontId="5" fillId="14" borderId="15" xfId="0" applyFont="1" applyFill="1" applyBorder="1" applyAlignment="1">
      <alignment horizontal="center"/>
    </xf>
    <xf numFmtId="188" fontId="5" fillId="14" borderId="15" xfId="0" applyNumberFormat="1" applyFont="1" applyFill="1" applyBorder="1" applyAlignment="1">
      <alignment horizontal="right"/>
    </xf>
    <xf numFmtId="0" fontId="11" fillId="2" borderId="14" xfId="0" applyFont="1" applyFill="1" applyBorder="1" applyAlignment="1"/>
    <xf numFmtId="0" fontId="2" fillId="15" borderId="6" xfId="0" applyFont="1" applyFill="1" applyBorder="1" applyAlignment="1"/>
    <xf numFmtId="189" fontId="2" fillId="15" borderId="6" xfId="0" applyNumberFormat="1" applyFont="1" applyFill="1" applyBorder="1" applyAlignment="1"/>
    <xf numFmtId="188" fontId="2" fillId="15" borderId="6" xfId="0" applyNumberFormat="1" applyFont="1" applyFill="1" applyBorder="1" applyAlignment="1"/>
    <xf numFmtId="188" fontId="2" fillId="15" borderId="7" xfId="0" applyNumberFormat="1" applyFont="1" applyFill="1" applyBorder="1" applyAlignment="1"/>
    <xf numFmtId="0" fontId="2" fillId="16" borderId="13" xfId="0" applyFont="1" applyFill="1" applyBorder="1" applyAlignment="1"/>
    <xf numFmtId="0" fontId="2" fillId="16" borderId="15" xfId="0" applyFont="1" applyFill="1" applyBorder="1" applyAlignment="1"/>
    <xf numFmtId="189" fontId="2" fillId="16" borderId="15" xfId="0" applyNumberFormat="1" applyFont="1" applyFill="1" applyBorder="1" applyAlignment="1"/>
    <xf numFmtId="188" fontId="2" fillId="16" borderId="15" xfId="0" applyNumberFormat="1" applyFont="1" applyFill="1" applyBorder="1" applyAlignment="1"/>
    <xf numFmtId="0" fontId="2" fillId="17" borderId="13" xfId="0" applyFont="1" applyFill="1" applyBorder="1" applyAlignment="1"/>
    <xf numFmtId="0" fontId="1" fillId="17" borderId="14" xfId="0" applyFont="1" applyFill="1" applyBorder="1" applyAlignment="1"/>
    <xf numFmtId="0" fontId="2" fillId="17" borderId="14" xfId="0" applyFont="1" applyFill="1" applyBorder="1" applyAlignment="1"/>
    <xf numFmtId="0" fontId="2" fillId="17" borderId="15" xfId="0" applyFont="1" applyFill="1" applyBorder="1" applyAlignment="1"/>
    <xf numFmtId="189" fontId="2" fillId="17" borderId="15" xfId="0" applyNumberFormat="1" applyFont="1" applyFill="1" applyBorder="1" applyAlignment="1"/>
    <xf numFmtId="188" fontId="2" fillId="17" borderId="15" xfId="0" applyNumberFormat="1" applyFont="1" applyFill="1" applyBorder="1" applyAlignment="1"/>
    <xf numFmtId="0" fontId="2" fillId="18" borderId="13" xfId="0" applyFont="1" applyFill="1" applyBorder="1" applyAlignment="1"/>
    <xf numFmtId="0" fontId="2" fillId="18" borderId="14" xfId="0" applyFont="1" applyFill="1" applyBorder="1" applyAlignment="1"/>
    <xf numFmtId="0" fontId="1" fillId="18" borderId="14" xfId="0" applyFont="1" applyFill="1" applyBorder="1" applyAlignment="1"/>
    <xf numFmtId="0" fontId="12" fillId="18" borderId="14" xfId="0" applyFont="1" applyFill="1" applyBorder="1" applyAlignment="1"/>
    <xf numFmtId="0" fontId="2" fillId="18" borderId="15" xfId="0" applyFont="1" applyFill="1" applyBorder="1" applyAlignment="1"/>
    <xf numFmtId="0" fontId="1" fillId="18" borderId="15" xfId="0" applyFont="1" applyFill="1" applyBorder="1" applyAlignment="1">
      <alignment horizontal="center"/>
    </xf>
    <xf numFmtId="189" fontId="2" fillId="18" borderId="15" xfId="0" applyNumberFormat="1" applyFont="1" applyFill="1" applyBorder="1" applyAlignment="1"/>
    <xf numFmtId="188" fontId="2" fillId="18" borderId="15" xfId="0" applyNumberFormat="1" applyFont="1" applyFill="1" applyBorder="1" applyAlignment="1"/>
    <xf numFmtId="188" fontId="1" fillId="18" borderId="15" xfId="0" applyNumberFormat="1" applyFont="1" applyFill="1" applyBorder="1" applyAlignment="1">
      <alignment horizontal="right"/>
    </xf>
    <xf numFmtId="0" fontId="5" fillId="18" borderId="14" xfId="0" applyFont="1" applyFill="1" applyBorder="1" applyAlignment="1"/>
    <xf numFmtId="0" fontId="5" fillId="18" borderId="15" xfId="0" applyFont="1" applyFill="1" applyBorder="1" applyAlignment="1">
      <alignment horizontal="center"/>
    </xf>
    <xf numFmtId="188" fontId="5" fillId="18" borderId="15" xfId="0" applyNumberFormat="1" applyFont="1" applyFill="1" applyBorder="1" applyAlignment="1">
      <alignment horizontal="right"/>
    </xf>
    <xf numFmtId="0" fontId="2" fillId="2" borderId="19" xfId="0" applyFont="1" applyFill="1" applyBorder="1" applyAlignment="1"/>
    <xf numFmtId="0" fontId="5" fillId="2" borderId="0" xfId="0" applyFont="1" applyFill="1" applyAlignment="1"/>
    <xf numFmtId="0" fontId="2" fillId="2" borderId="20" xfId="0" applyFont="1" applyFill="1" applyBorder="1" applyAlignment="1"/>
    <xf numFmtId="0" fontId="5" fillId="2" borderId="20" xfId="0" applyFont="1" applyFill="1" applyBorder="1" applyAlignment="1">
      <alignment horizontal="center"/>
    </xf>
    <xf numFmtId="189" fontId="2" fillId="2" borderId="20" xfId="0" applyNumberFormat="1" applyFont="1" applyFill="1" applyBorder="1" applyAlignment="1"/>
    <xf numFmtId="188" fontId="2" fillId="2" borderId="20" xfId="0" applyNumberFormat="1" applyFont="1" applyFill="1" applyBorder="1" applyAlignment="1"/>
    <xf numFmtId="188" fontId="5" fillId="2" borderId="20" xfId="0" applyNumberFormat="1" applyFont="1" applyFill="1" applyBorder="1" applyAlignment="1">
      <alignment horizontal="right"/>
    </xf>
    <xf numFmtId="187" fontId="1" fillId="19" borderId="5" xfId="0" applyNumberFormat="1" applyFont="1" applyFill="1" applyBorder="1" applyAlignment="1"/>
    <xf numFmtId="187" fontId="2" fillId="19" borderId="6" xfId="0" applyNumberFormat="1" applyFont="1" applyFill="1" applyBorder="1" applyAlignment="1"/>
    <xf numFmtId="0" fontId="2" fillId="19" borderId="6" xfId="0" applyFont="1" applyFill="1" applyBorder="1" applyAlignment="1"/>
    <xf numFmtId="189" fontId="2" fillId="19" borderId="6" xfId="0" applyNumberFormat="1" applyFont="1" applyFill="1" applyBorder="1" applyAlignment="1"/>
    <xf numFmtId="188" fontId="2" fillId="19" borderId="6" xfId="0" applyNumberFormat="1" applyFont="1" applyFill="1" applyBorder="1" applyAlignment="1"/>
    <xf numFmtId="188" fontId="2" fillId="19" borderId="7" xfId="0" applyNumberFormat="1" applyFont="1" applyFill="1" applyBorder="1" applyAlignment="1"/>
    <xf numFmtId="187" fontId="1" fillId="20" borderId="13" xfId="0" applyNumberFormat="1" applyFont="1" applyFill="1" applyBorder="1" applyAlignment="1"/>
    <xf numFmtId="0" fontId="2" fillId="20" borderId="14" xfId="0" applyFont="1" applyFill="1" applyBorder="1" applyAlignment="1"/>
    <xf numFmtId="187" fontId="2" fillId="20" borderId="14" xfId="0" applyNumberFormat="1" applyFont="1" applyFill="1" applyBorder="1" applyAlignment="1"/>
    <xf numFmtId="0" fontId="2" fillId="20" borderId="15" xfId="0" applyFont="1" applyFill="1" applyBorder="1" applyAlignment="1"/>
    <xf numFmtId="189" fontId="2" fillId="20" borderId="15" xfId="0" applyNumberFormat="1" applyFont="1" applyFill="1" applyBorder="1" applyAlignment="1"/>
    <xf numFmtId="188" fontId="2" fillId="20" borderId="15" xfId="0" applyNumberFormat="1" applyFont="1" applyFill="1" applyBorder="1" applyAlignment="1"/>
    <xf numFmtId="190" fontId="2" fillId="10" borderId="13" xfId="0" applyNumberFormat="1" applyFont="1" applyFill="1" applyBorder="1" applyAlignment="1"/>
    <xf numFmtId="0" fontId="1" fillId="10" borderId="14" xfId="0" applyFont="1" applyFill="1" applyBorder="1" applyAlignment="1"/>
    <xf numFmtId="187" fontId="2" fillId="10" borderId="14" xfId="0" applyNumberFormat="1" applyFont="1" applyFill="1" applyBorder="1" applyAlignment="1"/>
    <xf numFmtId="0" fontId="1" fillId="10" borderId="15" xfId="0" applyFont="1" applyFill="1" applyBorder="1" applyAlignment="1">
      <alignment horizontal="center" wrapText="1"/>
    </xf>
    <xf numFmtId="189" fontId="1" fillId="10" borderId="15" xfId="0" applyNumberFormat="1" applyFont="1" applyFill="1" applyBorder="1" applyAlignment="1">
      <alignment horizontal="right"/>
    </xf>
    <xf numFmtId="190" fontId="2" fillId="2" borderId="13" xfId="0" applyNumberFormat="1" applyFont="1" applyFill="1" applyBorder="1" applyAlignment="1"/>
    <xf numFmtId="0" fontId="1" fillId="2" borderId="14" xfId="0" applyFont="1" applyFill="1" applyBorder="1" applyAlignment="1"/>
    <xf numFmtId="0" fontId="13" fillId="2" borderId="14" xfId="0" applyFont="1" applyFill="1" applyBorder="1" applyAlignment="1"/>
    <xf numFmtId="187" fontId="1" fillId="2" borderId="15" xfId="0" applyNumberFormat="1" applyFont="1" applyFill="1" applyBorder="1" applyAlignment="1">
      <alignment horizontal="center"/>
    </xf>
    <xf numFmtId="188" fontId="1" fillId="2" borderId="15" xfId="0" applyNumberFormat="1" applyFont="1" applyFill="1" applyBorder="1" applyAlignment="1">
      <alignment horizontal="right"/>
    </xf>
    <xf numFmtId="187" fontId="5" fillId="2" borderId="15" xfId="0" applyNumberFormat="1" applyFont="1" applyFill="1" applyBorder="1" applyAlignment="1">
      <alignment horizontal="center"/>
    </xf>
    <xf numFmtId="187" fontId="5" fillId="0" borderId="15" xfId="0" applyNumberFormat="1" applyFont="1" applyBorder="1" applyAlignment="1">
      <alignment horizontal="center" wrapText="1"/>
    </xf>
    <xf numFmtId="189" fontId="2" fillId="0" borderId="15" xfId="0" applyNumberFormat="1" applyFont="1" applyBorder="1" applyAlignment="1"/>
    <xf numFmtId="188" fontId="2" fillId="0" borderId="15" xfId="0" applyNumberFormat="1" applyFont="1" applyBorder="1" applyAlignment="1"/>
    <xf numFmtId="187" fontId="5" fillId="0" borderId="15" xfId="0" applyNumberFormat="1" applyFont="1" applyBorder="1" applyAlignment="1">
      <alignment horizontal="center"/>
    </xf>
    <xf numFmtId="187" fontId="2" fillId="0" borderId="13" xfId="0" applyNumberFormat="1" applyFont="1" applyBorder="1" applyAlignment="1"/>
    <xf numFmtId="187" fontId="2" fillId="0" borderId="14" xfId="0" applyNumberFormat="1" applyFont="1" applyBorder="1" applyAlignment="1"/>
    <xf numFmtId="0" fontId="14" fillId="21" borderId="14" xfId="0" quotePrefix="1" applyFont="1" applyFill="1" applyBorder="1" applyAlignment="1"/>
    <xf numFmtId="0" fontId="2" fillId="21" borderId="14" xfId="0" applyFont="1" applyFill="1" applyBorder="1" applyAlignment="1"/>
    <xf numFmtId="0" fontId="2" fillId="21" borderId="15" xfId="0" applyFont="1" applyFill="1" applyBorder="1" applyAlignment="1"/>
    <xf numFmtId="0" fontId="2" fillId="0" borderId="15" xfId="0" applyFont="1" applyBorder="1" applyAlignment="1"/>
    <xf numFmtId="0" fontId="5" fillId="0" borderId="14" xfId="0" quotePrefix="1" applyFont="1" applyBorder="1" applyAlignment="1"/>
    <xf numFmtId="0" fontId="2" fillId="0" borderId="14" xfId="0" applyFont="1" applyBorder="1" applyAlignment="1"/>
    <xf numFmtId="0" fontId="1" fillId="0" borderId="15" xfId="0" applyFont="1" applyBorder="1" applyAlignment="1">
      <alignment horizontal="center" wrapText="1"/>
    </xf>
    <xf numFmtId="189" fontId="1" fillId="2" borderId="15" xfId="0" applyNumberFormat="1" applyFont="1" applyFill="1" applyBorder="1" applyAlignment="1">
      <alignment horizontal="right"/>
    </xf>
    <xf numFmtId="188" fontId="1" fillId="0" borderId="15" xfId="0" applyNumberFormat="1" applyFont="1" applyBorder="1" applyAlignment="1">
      <alignment horizontal="right"/>
    </xf>
    <xf numFmtId="0" fontId="5" fillId="0" borderId="14" xfId="0" applyFont="1" applyBorder="1" applyAlignment="1"/>
    <xf numFmtId="0" fontId="5" fillId="0" borderId="15" xfId="0" applyFont="1" applyBorder="1" applyAlignment="1">
      <alignment horizontal="center"/>
    </xf>
    <xf numFmtId="189" fontId="5" fillId="0" borderId="15" xfId="0" applyNumberFormat="1" applyFont="1" applyBorder="1" applyAlignment="1">
      <alignment horizontal="right"/>
    </xf>
    <xf numFmtId="189" fontId="5" fillId="2" borderId="15" xfId="0" applyNumberFormat="1" applyFont="1" applyFill="1" applyBorder="1" applyAlignment="1">
      <alignment horizontal="right"/>
    </xf>
    <xf numFmtId="188" fontId="5" fillId="0" borderId="15" xfId="0" applyNumberFormat="1" applyFont="1" applyBorder="1" applyAlignment="1">
      <alignment horizontal="right"/>
    </xf>
    <xf numFmtId="0" fontId="5" fillId="0" borderId="15" xfId="0" applyFont="1" applyBorder="1" applyAlignment="1">
      <alignment horizontal="center" wrapText="1"/>
    </xf>
    <xf numFmtId="187" fontId="15" fillId="8" borderId="13" xfId="0" applyNumberFormat="1" applyFont="1" applyFill="1" applyBorder="1" applyAlignment="1"/>
    <xf numFmtId="187" fontId="15" fillId="8" borderId="14" xfId="0" applyNumberFormat="1" applyFont="1" applyFill="1" applyBorder="1" applyAlignment="1"/>
    <xf numFmtId="0" fontId="16" fillId="8" borderId="14" xfId="0" applyFont="1" applyFill="1" applyBorder="1" applyAlignment="1"/>
    <xf numFmtId="0" fontId="15" fillId="8" borderId="14" xfId="0" applyFont="1" applyFill="1" applyBorder="1" applyAlignment="1"/>
    <xf numFmtId="0" fontId="15" fillId="8" borderId="15" xfId="0" applyFont="1" applyFill="1" applyBorder="1" applyAlignment="1"/>
    <xf numFmtId="0" fontId="16" fillId="8" borderId="15" xfId="0" applyFont="1" applyFill="1" applyBorder="1" applyAlignment="1">
      <alignment horizontal="center"/>
    </xf>
    <xf numFmtId="189" fontId="16" fillId="8" borderId="15" xfId="0" applyNumberFormat="1" applyFont="1" applyFill="1" applyBorder="1" applyAlignment="1">
      <alignment horizontal="right"/>
    </xf>
    <xf numFmtId="188" fontId="16" fillId="8" borderId="15" xfId="0" applyNumberFormat="1" applyFont="1" applyFill="1" applyBorder="1" applyAlignment="1">
      <alignment horizontal="right"/>
    </xf>
    <xf numFmtId="0" fontId="1" fillId="0" borderId="14" xfId="0" applyFont="1" applyBorder="1" applyAlignment="1"/>
    <xf numFmtId="0" fontId="5" fillId="0" borderId="14" xfId="0" applyFont="1" applyBorder="1" applyAlignment="1"/>
    <xf numFmtId="189" fontId="5" fillId="2" borderId="15" xfId="0" applyNumberFormat="1" applyFont="1" applyFill="1" applyBorder="1" applyAlignment="1">
      <alignment horizontal="right"/>
    </xf>
    <xf numFmtId="0" fontId="17" fillId="8" borderId="14" xfId="0" applyFont="1" applyFill="1" applyBorder="1" applyAlignment="1"/>
    <xf numFmtId="189" fontId="15" fillId="8" borderId="15" xfId="0" applyNumberFormat="1" applyFont="1" applyFill="1" applyBorder="1" applyAlignment="1"/>
    <xf numFmtId="189" fontId="15" fillId="2" borderId="15" xfId="0" applyNumberFormat="1" applyFont="1" applyFill="1" applyBorder="1" applyAlignment="1"/>
    <xf numFmtId="188" fontId="15" fillId="8" borderId="15" xfId="0" applyNumberFormat="1" applyFont="1" applyFill="1" applyBorder="1" applyAlignment="1"/>
    <xf numFmtId="189" fontId="16" fillId="2" borderId="15" xfId="0" applyNumberFormat="1" applyFont="1" applyFill="1" applyBorder="1" applyAlignment="1">
      <alignment horizontal="right"/>
    </xf>
    <xf numFmtId="0" fontId="18" fillId="8" borderId="14" xfId="0" applyFont="1" applyFill="1" applyBorder="1" applyAlignment="1"/>
    <xf numFmtId="0" fontId="19" fillId="8" borderId="14" xfId="0" applyFont="1" applyFill="1" applyBorder="1" applyAlignment="1"/>
    <xf numFmtId="0" fontId="17" fillId="8" borderId="15" xfId="0" applyFont="1" applyFill="1" applyBorder="1" applyAlignment="1">
      <alignment horizontal="center"/>
    </xf>
    <xf numFmtId="189" fontId="17" fillId="8" borderId="15" xfId="0" applyNumberFormat="1" applyFont="1" applyFill="1" applyBorder="1" applyAlignment="1">
      <alignment horizontal="right"/>
    </xf>
    <xf numFmtId="188" fontId="17" fillId="8" borderId="15" xfId="0" applyNumberFormat="1" applyFont="1" applyFill="1" applyBorder="1" applyAlignment="1">
      <alignment horizontal="right"/>
    </xf>
    <xf numFmtId="187" fontId="1" fillId="8" borderId="13" xfId="0" applyNumberFormat="1" applyFont="1" applyFill="1" applyBorder="1" applyAlignment="1"/>
    <xf numFmtId="190" fontId="2" fillId="8" borderId="14" xfId="0" applyNumberFormat="1" applyFont="1" applyFill="1" applyBorder="1" applyAlignment="1"/>
    <xf numFmtId="189" fontId="2" fillId="8" borderId="14" xfId="0" applyNumberFormat="1" applyFont="1" applyFill="1" applyBorder="1" applyAlignment="1"/>
    <xf numFmtId="188" fontId="2" fillId="8" borderId="14" xfId="0" applyNumberFormat="1" applyFont="1" applyFill="1" applyBorder="1" applyAlignment="1"/>
    <xf numFmtId="190" fontId="2" fillId="8" borderId="13" xfId="0" applyNumberFormat="1" applyFont="1" applyFill="1" applyBorder="1" applyAlignment="1"/>
    <xf numFmtId="0" fontId="1" fillId="8" borderId="14" xfId="0" applyFont="1" applyFill="1" applyBorder="1" applyAlignment="1"/>
    <xf numFmtId="187" fontId="2" fillId="8" borderId="14" xfId="0" applyNumberFormat="1" applyFont="1" applyFill="1" applyBorder="1" applyAlignment="1"/>
    <xf numFmtId="189" fontId="5" fillId="8" borderId="15" xfId="0" applyNumberFormat="1" applyFont="1" applyFill="1" applyBorder="1" applyAlignment="1">
      <alignment horizontal="right"/>
    </xf>
    <xf numFmtId="187" fontId="1" fillId="8" borderId="15" xfId="0" applyNumberFormat="1" applyFont="1" applyFill="1" applyBorder="1" applyAlignment="1">
      <alignment horizontal="center"/>
    </xf>
    <xf numFmtId="190" fontId="15" fillId="8" borderId="13" xfId="0" applyNumberFormat="1" applyFont="1" applyFill="1" applyBorder="1" applyAlignment="1"/>
    <xf numFmtId="187" fontId="16" fillId="8" borderId="15" xfId="0" applyNumberFormat="1" applyFont="1" applyFill="1" applyBorder="1" applyAlignment="1">
      <alignment horizontal="center"/>
    </xf>
    <xf numFmtId="187" fontId="5" fillId="8" borderId="15" xfId="0" applyNumberFormat="1" applyFont="1" applyFill="1" applyBorder="1" applyAlignment="1">
      <alignment horizontal="center"/>
    </xf>
    <xf numFmtId="187" fontId="5" fillId="8" borderId="15" xfId="0" applyNumberFormat="1" applyFont="1" applyFill="1" applyBorder="1" applyAlignment="1">
      <alignment horizontal="center" wrapText="1"/>
    </xf>
    <xf numFmtId="187" fontId="16" fillId="8" borderId="15" xfId="0" applyNumberFormat="1" applyFont="1" applyFill="1" applyBorder="1" applyAlignment="1">
      <alignment horizontal="center" wrapText="1"/>
    </xf>
    <xf numFmtId="190" fontId="2" fillId="20" borderId="14" xfId="0" applyNumberFormat="1" applyFont="1" applyFill="1" applyBorder="1" applyAlignment="1"/>
    <xf numFmtId="189" fontId="2" fillId="20" borderId="14" xfId="0" applyNumberFormat="1" applyFont="1" applyFill="1" applyBorder="1" applyAlignment="1"/>
    <xf numFmtId="188" fontId="2" fillId="20" borderId="14" xfId="0" applyNumberFormat="1" applyFont="1" applyFill="1" applyBorder="1" applyAlignment="1"/>
    <xf numFmtId="190" fontId="2" fillId="10" borderId="14" xfId="0" applyNumberFormat="1" applyFont="1" applyFill="1" applyBorder="1" applyAlignment="1"/>
    <xf numFmtId="190" fontId="1" fillId="10" borderId="14" xfId="0" applyNumberFormat="1" applyFont="1" applyFill="1" applyBorder="1" applyAlignment="1"/>
    <xf numFmtId="0" fontId="1" fillId="10" borderId="15" xfId="0" applyFont="1" applyFill="1" applyBorder="1" applyAlignment="1">
      <alignment horizontal="center" wrapText="1"/>
    </xf>
    <xf numFmtId="187" fontId="2" fillId="0" borderId="15" xfId="0" applyNumberFormat="1" applyFont="1" applyBorder="1" applyAlignment="1"/>
    <xf numFmtId="190" fontId="2" fillId="2" borderId="16" xfId="0" applyNumberFormat="1" applyFont="1" applyFill="1" applyBorder="1" applyAlignment="1"/>
    <xf numFmtId="0" fontId="2" fillId="0" borderId="17" xfId="0" applyFont="1" applyBorder="1" applyAlignment="1"/>
    <xf numFmtId="0" fontId="5" fillId="2" borderId="17" xfId="0" applyFont="1" applyFill="1" applyBorder="1" applyAlignment="1"/>
    <xf numFmtId="187" fontId="5" fillId="0" borderId="18" xfId="0" applyNumberFormat="1" applyFont="1" applyBorder="1" applyAlignment="1">
      <alignment horizontal="center"/>
    </xf>
    <xf numFmtId="189" fontId="5" fillId="2" borderId="18" xfId="0" applyNumberFormat="1" applyFont="1" applyFill="1" applyBorder="1" applyAlignment="1">
      <alignment horizontal="right"/>
    </xf>
    <xf numFmtId="0" fontId="5" fillId="2" borderId="17" xfId="0" applyFont="1" applyFill="1" applyBorder="1" applyAlignment="1"/>
    <xf numFmtId="187" fontId="5" fillId="0" borderId="18" xfId="0" applyNumberFormat="1" applyFont="1" applyBorder="1" applyAlignment="1">
      <alignment horizontal="center"/>
    </xf>
    <xf numFmtId="189" fontId="5" fillId="2" borderId="18" xfId="0" applyNumberFormat="1" applyFont="1" applyFill="1" applyBorder="1" applyAlignment="1">
      <alignment horizontal="right"/>
    </xf>
    <xf numFmtId="0" fontId="20" fillId="2" borderId="17" xfId="0" applyFont="1" applyFill="1" applyBorder="1" applyAlignment="1"/>
    <xf numFmtId="190" fontId="2" fillId="2" borderId="22" xfId="0" applyNumberFormat="1" applyFont="1" applyFill="1" applyBorder="1" applyAlignment="1"/>
    <xf numFmtId="0" fontId="2" fillId="2" borderId="23" xfId="0" applyFont="1" applyFill="1" applyBorder="1" applyAlignment="1"/>
    <xf numFmtId="0" fontId="5" fillId="2" borderId="23" xfId="0" applyFont="1" applyFill="1" applyBorder="1" applyAlignment="1"/>
    <xf numFmtId="0" fontId="2" fillId="2" borderId="24" xfId="0" applyFont="1" applyFill="1" applyBorder="1" applyAlignment="1"/>
    <xf numFmtId="187" fontId="5" fillId="0" borderId="24" xfId="0" applyNumberFormat="1" applyFont="1" applyBorder="1" applyAlignment="1">
      <alignment horizontal="center"/>
    </xf>
    <xf numFmtId="189" fontId="5" fillId="2" borderId="24" xfId="0" applyNumberFormat="1" applyFont="1" applyFill="1" applyBorder="1" applyAlignment="1">
      <alignment horizontal="right"/>
    </xf>
    <xf numFmtId="189" fontId="5" fillId="2" borderId="24" xfId="0" applyNumberFormat="1" applyFont="1" applyFill="1" applyBorder="1" applyAlignment="1">
      <alignment horizontal="right"/>
    </xf>
    <xf numFmtId="188" fontId="2" fillId="2" borderId="24" xfId="0" applyNumberFormat="1" applyFont="1" applyFill="1" applyBorder="1" applyAlignment="1"/>
    <xf numFmtId="187" fontId="1" fillId="20" borderId="16" xfId="0" applyNumberFormat="1" applyFont="1" applyFill="1" applyBorder="1" applyAlignment="1"/>
    <xf numFmtId="0" fontId="2" fillId="20" borderId="17" xfId="0" applyFont="1" applyFill="1" applyBorder="1" applyAlignment="1"/>
    <xf numFmtId="190" fontId="2" fillId="20" borderId="17" xfId="0" applyNumberFormat="1" applyFont="1" applyFill="1" applyBorder="1" applyAlignment="1"/>
    <xf numFmtId="189" fontId="2" fillId="20" borderId="17" xfId="0" applyNumberFormat="1" applyFont="1" applyFill="1" applyBorder="1" applyAlignment="1"/>
    <xf numFmtId="188" fontId="2" fillId="20" borderId="17" xfId="0" applyNumberFormat="1" applyFont="1" applyFill="1" applyBorder="1" applyAlignment="1"/>
    <xf numFmtId="188" fontId="2" fillId="20" borderId="18" xfId="0" applyNumberFormat="1" applyFont="1" applyFill="1" applyBorder="1" applyAlignment="1"/>
    <xf numFmtId="187" fontId="1" fillId="10" borderId="15" xfId="0" applyNumberFormat="1" applyFont="1" applyFill="1" applyBorder="1" applyAlignment="1">
      <alignment horizontal="center"/>
    </xf>
    <xf numFmtId="0" fontId="5" fillId="2" borderId="14" xfId="0" applyFont="1" applyFill="1" applyBorder="1" applyAlignment="1"/>
    <xf numFmtId="190" fontId="2" fillId="2" borderId="19" xfId="0" applyNumberFormat="1" applyFont="1" applyFill="1" applyBorder="1" applyAlignment="1"/>
    <xf numFmtId="0" fontId="5" fillId="2" borderId="0" xfId="0" applyFont="1" applyFill="1" applyAlignment="1"/>
    <xf numFmtId="187" fontId="5" fillId="0" borderId="20" xfId="0" applyNumberFormat="1" applyFont="1" applyBorder="1" applyAlignment="1">
      <alignment horizontal="center"/>
    </xf>
    <xf numFmtId="189" fontId="5" fillId="2" borderId="20" xfId="0" applyNumberFormat="1" applyFont="1" applyFill="1" applyBorder="1" applyAlignment="1">
      <alignment horizontal="right"/>
    </xf>
    <xf numFmtId="187" fontId="1" fillId="7" borderId="5" xfId="0" applyNumberFormat="1" applyFont="1" applyFill="1" applyBorder="1" applyAlignment="1"/>
    <xf numFmtId="187" fontId="2" fillId="7" borderId="6" xfId="0" applyNumberFormat="1" applyFont="1" applyFill="1" applyBorder="1" applyAlignment="1"/>
    <xf numFmtId="0" fontId="2" fillId="7" borderId="6" xfId="0" applyFont="1" applyFill="1" applyBorder="1" applyAlignment="1"/>
    <xf numFmtId="189" fontId="2" fillId="7" borderId="6" xfId="0" applyNumberFormat="1" applyFont="1" applyFill="1" applyBorder="1" applyAlignment="1"/>
    <xf numFmtId="188" fontId="2" fillId="7" borderId="6" xfId="0" applyNumberFormat="1" applyFont="1" applyFill="1" applyBorder="1" applyAlignment="1"/>
    <xf numFmtId="188" fontId="2" fillId="7" borderId="7" xfId="0" applyNumberFormat="1" applyFont="1" applyFill="1" applyBorder="1" applyAlignment="1"/>
    <xf numFmtId="187" fontId="1" fillId="22" borderId="13" xfId="0" applyNumberFormat="1" applyFont="1" applyFill="1" applyBorder="1" applyAlignment="1"/>
    <xf numFmtId="187" fontId="2" fillId="22" borderId="14" xfId="0" applyNumberFormat="1" applyFont="1" applyFill="1" applyBorder="1" applyAlignment="1"/>
    <xf numFmtId="0" fontId="2" fillId="22" borderId="14" xfId="0" applyFont="1" applyFill="1" applyBorder="1" applyAlignment="1"/>
    <xf numFmtId="0" fontId="2" fillId="22" borderId="15" xfId="0" applyFont="1" applyFill="1" applyBorder="1" applyAlignment="1"/>
    <xf numFmtId="189" fontId="2" fillId="22" borderId="15" xfId="0" applyNumberFormat="1" applyFont="1" applyFill="1" applyBorder="1" applyAlignment="1"/>
    <xf numFmtId="188" fontId="2" fillId="22" borderId="15" xfId="0" applyNumberFormat="1" applyFont="1" applyFill="1" applyBorder="1" applyAlignment="1"/>
    <xf numFmtId="187" fontId="2" fillId="21" borderId="13" xfId="0" applyNumberFormat="1" applyFont="1" applyFill="1" applyBorder="1" applyAlignment="1"/>
    <xf numFmtId="0" fontId="1" fillId="21" borderId="14" xfId="0" applyFont="1" applyFill="1" applyBorder="1" applyAlignment="1"/>
    <xf numFmtId="187" fontId="2" fillId="21" borderId="14" xfId="0" applyNumberFormat="1" applyFont="1" applyFill="1" applyBorder="1" applyAlignment="1"/>
    <xf numFmtId="0" fontId="1" fillId="21" borderId="15" xfId="0" applyFont="1" applyFill="1" applyBorder="1" applyAlignment="1">
      <alignment horizontal="center" wrapText="1"/>
    </xf>
    <xf numFmtId="189" fontId="1" fillId="21" borderId="15" xfId="0" applyNumberFormat="1" applyFont="1" applyFill="1" applyBorder="1" applyAlignment="1">
      <alignment horizontal="right"/>
    </xf>
    <xf numFmtId="188" fontId="1" fillId="21" borderId="15" xfId="0" applyNumberFormat="1" applyFont="1" applyFill="1" applyBorder="1" applyAlignment="1">
      <alignment horizontal="right"/>
    </xf>
    <xf numFmtId="188" fontId="2" fillId="21" borderId="15" xfId="0" applyNumberFormat="1" applyFont="1" applyFill="1" applyBorder="1" applyAlignment="1"/>
    <xf numFmtId="187" fontId="2" fillId="2" borderId="13" xfId="0" applyNumberFormat="1" applyFont="1" applyFill="1" applyBorder="1" applyAlignment="1"/>
    <xf numFmtId="187" fontId="5" fillId="2" borderId="14" xfId="0" applyNumberFormat="1" applyFont="1" applyFill="1" applyBorder="1" applyAlignment="1"/>
    <xf numFmtId="187" fontId="5" fillId="2" borderId="14" xfId="0" applyNumberFormat="1" applyFont="1" applyFill="1" applyBorder="1" applyAlignment="1"/>
    <xf numFmtId="0" fontId="5" fillId="2" borderId="15" xfId="0" applyFont="1" applyFill="1" applyBorder="1" applyAlignment="1">
      <alignment horizontal="center" wrapText="1"/>
    </xf>
    <xf numFmtId="187" fontId="2" fillId="2" borderId="14" xfId="0" applyNumberFormat="1" applyFont="1" applyFill="1" applyBorder="1" applyAlignment="1"/>
    <xf numFmtId="187" fontId="2" fillId="23" borderId="13" xfId="0" applyNumberFormat="1" applyFont="1" applyFill="1" applyBorder="1" applyAlignment="1"/>
    <xf numFmtId="187" fontId="2" fillId="23" borderId="14" xfId="0" applyNumberFormat="1" applyFont="1" applyFill="1" applyBorder="1" applyAlignment="1"/>
    <xf numFmtId="0" fontId="1" fillId="23" borderId="14" xfId="0" applyFont="1" applyFill="1" applyBorder="1" applyAlignment="1"/>
    <xf numFmtId="0" fontId="2" fillId="23" borderId="14" xfId="0" applyFont="1" applyFill="1" applyBorder="1" applyAlignment="1"/>
    <xf numFmtId="0" fontId="2" fillId="23" borderId="15" xfId="0" applyFont="1" applyFill="1" applyBorder="1" applyAlignment="1"/>
    <xf numFmtId="0" fontId="1" fillId="23" borderId="15" xfId="0" applyFont="1" applyFill="1" applyBorder="1" applyAlignment="1">
      <alignment horizontal="center" wrapText="1"/>
    </xf>
    <xf numFmtId="189" fontId="1" fillId="23" borderId="15" xfId="0" applyNumberFormat="1" applyFont="1" applyFill="1" applyBorder="1" applyAlignment="1">
      <alignment horizontal="right"/>
    </xf>
    <xf numFmtId="188" fontId="1" fillId="23" borderId="15" xfId="0" applyNumberFormat="1" applyFont="1" applyFill="1" applyBorder="1" applyAlignment="1">
      <alignment horizontal="right"/>
    </xf>
    <xf numFmtId="188" fontId="2" fillId="23" borderId="15" xfId="0" applyNumberFormat="1" applyFont="1" applyFill="1" applyBorder="1" applyAlignment="1"/>
    <xf numFmtId="0" fontId="21" fillId="2" borderId="14" xfId="0" quotePrefix="1" applyFont="1" applyFill="1" applyBorder="1" applyAlignment="1"/>
    <xf numFmtId="187" fontId="1" fillId="0" borderId="15" xfId="0" applyNumberFormat="1" applyFont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3" borderId="15" xfId="0" applyFont="1" applyFill="1" applyBorder="1" applyAlignment="1">
      <alignment horizontal="center"/>
    </xf>
    <xf numFmtId="0" fontId="22" fillId="2" borderId="17" xfId="0" applyFont="1" applyFill="1" applyBorder="1" applyAlignment="1"/>
    <xf numFmtId="0" fontId="22" fillId="2" borderId="14" xfId="0" applyFont="1" applyFill="1" applyBorder="1" applyAlignment="1"/>
    <xf numFmtId="0" fontId="5" fillId="0" borderId="15" xfId="0" applyFont="1" applyBorder="1" applyAlignment="1"/>
    <xf numFmtId="0" fontId="5" fillId="0" borderId="15" xfId="0" applyFont="1" applyBorder="1" applyAlignment="1">
      <alignment horizontal="center"/>
    </xf>
    <xf numFmtId="187" fontId="1" fillId="2" borderId="14" xfId="0" applyNumberFormat="1" applyFont="1" applyFill="1" applyBorder="1" applyAlignment="1"/>
    <xf numFmtId="187" fontId="2" fillId="24" borderId="13" xfId="0" applyNumberFormat="1" applyFont="1" applyFill="1" applyBorder="1" applyAlignment="1"/>
    <xf numFmtId="187" fontId="2" fillId="24" borderId="14" xfId="0" applyNumberFormat="1" applyFont="1" applyFill="1" applyBorder="1" applyAlignment="1"/>
    <xf numFmtId="0" fontId="5" fillId="24" borderId="14" xfId="0" applyFont="1" applyFill="1" applyBorder="1" applyAlignment="1"/>
    <xf numFmtId="0" fontId="2" fillId="24" borderId="14" xfId="0" applyFont="1" applyFill="1" applyBorder="1" applyAlignment="1"/>
    <xf numFmtId="0" fontId="2" fillId="24" borderId="15" xfId="0" applyFont="1" applyFill="1" applyBorder="1" applyAlignment="1"/>
    <xf numFmtId="187" fontId="5" fillId="24" borderId="15" xfId="0" applyNumberFormat="1" applyFont="1" applyFill="1" applyBorder="1" applyAlignment="1">
      <alignment horizontal="center" wrapText="1"/>
    </xf>
    <xf numFmtId="189" fontId="2" fillId="24" borderId="15" xfId="0" applyNumberFormat="1" applyFont="1" applyFill="1" applyBorder="1" applyAlignment="1"/>
    <xf numFmtId="188" fontId="2" fillId="24" borderId="15" xfId="0" applyNumberFormat="1" applyFont="1" applyFill="1" applyBorder="1" applyAlignment="1"/>
    <xf numFmtId="188" fontId="5" fillId="24" borderId="15" xfId="0" applyNumberFormat="1" applyFont="1" applyFill="1" applyBorder="1" applyAlignment="1">
      <alignment horizontal="right"/>
    </xf>
    <xf numFmtId="187" fontId="5" fillId="0" borderId="14" xfId="0" quotePrefix="1" applyNumberFormat="1" applyFont="1" applyBorder="1" applyAlignment="1"/>
    <xf numFmtId="187" fontId="15" fillId="24" borderId="13" xfId="0" applyNumberFormat="1" applyFont="1" applyFill="1" applyBorder="1" applyAlignment="1"/>
    <xf numFmtId="187" fontId="15" fillId="24" borderId="14" xfId="0" applyNumberFormat="1" applyFont="1" applyFill="1" applyBorder="1" applyAlignment="1"/>
    <xf numFmtId="0" fontId="17" fillId="24" borderId="14" xfId="0" applyFont="1" applyFill="1" applyBorder="1" applyAlignment="1"/>
    <xf numFmtId="0" fontId="15" fillId="24" borderId="14" xfId="0" applyFont="1" applyFill="1" applyBorder="1" applyAlignment="1"/>
    <xf numFmtId="0" fontId="15" fillId="24" borderId="15" xfId="0" applyFont="1" applyFill="1" applyBorder="1" applyAlignment="1"/>
    <xf numFmtId="0" fontId="17" fillId="24" borderId="15" xfId="0" applyFont="1" applyFill="1" applyBorder="1" applyAlignment="1">
      <alignment horizontal="center" wrapText="1"/>
    </xf>
    <xf numFmtId="189" fontId="17" fillId="24" borderId="15" xfId="0" applyNumberFormat="1" applyFont="1" applyFill="1" applyBorder="1" applyAlignment="1">
      <alignment horizontal="right"/>
    </xf>
    <xf numFmtId="188" fontId="17" fillId="24" borderId="15" xfId="0" applyNumberFormat="1" applyFont="1" applyFill="1" applyBorder="1" applyAlignment="1">
      <alignment horizontal="right"/>
    </xf>
    <xf numFmtId="190" fontId="15" fillId="24" borderId="13" xfId="0" applyNumberFormat="1" applyFont="1" applyFill="1" applyBorder="1" applyAlignment="1"/>
    <xf numFmtId="0" fontId="17" fillId="24" borderId="14" xfId="0" applyFont="1" applyFill="1" applyBorder="1" applyAlignment="1"/>
    <xf numFmtId="0" fontId="23" fillId="24" borderId="14" xfId="0" applyFont="1" applyFill="1" applyBorder="1" applyAlignment="1"/>
    <xf numFmtId="187" fontId="17" fillId="24" borderId="15" xfId="0" applyNumberFormat="1" applyFont="1" applyFill="1" applyBorder="1" applyAlignment="1">
      <alignment horizontal="center" wrapText="1"/>
    </xf>
    <xf numFmtId="189" fontId="15" fillId="24" borderId="15" xfId="0" applyNumberFormat="1" applyFont="1" applyFill="1" applyBorder="1" applyAlignment="1"/>
    <xf numFmtId="188" fontId="15" fillId="24" borderId="15" xfId="0" applyNumberFormat="1" applyFont="1" applyFill="1" applyBorder="1" applyAlignment="1"/>
    <xf numFmtId="188" fontId="1" fillId="24" borderId="15" xfId="0" applyNumberFormat="1" applyFont="1" applyFill="1" applyBorder="1" applyAlignment="1">
      <alignment horizontal="right"/>
    </xf>
    <xf numFmtId="0" fontId="16" fillId="24" borderId="14" xfId="0" applyFont="1" applyFill="1" applyBorder="1" applyAlignment="1"/>
    <xf numFmtId="187" fontId="16" fillId="24" borderId="15" xfId="0" applyNumberFormat="1" applyFont="1" applyFill="1" applyBorder="1" applyAlignment="1">
      <alignment horizontal="center" wrapText="1"/>
    </xf>
    <xf numFmtId="188" fontId="5" fillId="24" borderId="15" xfId="0" applyNumberFormat="1" applyFont="1" applyFill="1" applyBorder="1" applyAlignment="1">
      <alignment horizontal="right"/>
    </xf>
    <xf numFmtId="187" fontId="17" fillId="24" borderId="14" xfId="0" applyNumberFormat="1" applyFont="1" applyFill="1" applyBorder="1" applyAlignment="1"/>
    <xf numFmtId="0" fontId="24" fillId="24" borderId="14" xfId="0" quotePrefix="1" applyFont="1" applyFill="1" applyBorder="1" applyAlignment="1"/>
    <xf numFmtId="0" fontId="16" fillId="24" borderId="15" xfId="0" applyFont="1" applyFill="1" applyBorder="1" applyAlignment="1">
      <alignment horizontal="center"/>
    </xf>
    <xf numFmtId="189" fontId="16" fillId="24" borderId="15" xfId="0" applyNumberFormat="1" applyFont="1" applyFill="1" applyBorder="1" applyAlignment="1">
      <alignment horizontal="right"/>
    </xf>
    <xf numFmtId="189" fontId="16" fillId="24" borderId="15" xfId="0" applyNumberFormat="1" applyFont="1" applyFill="1" applyBorder="1" applyAlignment="1">
      <alignment horizontal="right"/>
    </xf>
    <xf numFmtId="188" fontId="16" fillId="24" borderId="15" xfId="0" applyNumberFormat="1" applyFont="1" applyFill="1" applyBorder="1" applyAlignment="1">
      <alignment horizontal="right"/>
    </xf>
    <xf numFmtId="187" fontId="16" fillId="24" borderId="14" xfId="0" quotePrefix="1" applyNumberFormat="1" applyFont="1" applyFill="1" applyBorder="1" applyAlignment="1"/>
    <xf numFmtId="0" fontId="16" fillId="24" borderId="14" xfId="0" quotePrefix="1" applyFont="1" applyFill="1" applyBorder="1" applyAlignment="1"/>
    <xf numFmtId="189" fontId="1" fillId="21" borderId="15" xfId="0" applyNumberFormat="1" applyFont="1" applyFill="1" applyBorder="1" applyAlignment="1">
      <alignment horizontal="right"/>
    </xf>
    <xf numFmtId="0" fontId="5" fillId="2" borderId="14" xfId="0" applyFont="1" applyFill="1" applyBorder="1" applyAlignment="1"/>
    <xf numFmtId="187" fontId="2" fillId="8" borderId="13" xfId="0" applyNumberFormat="1" applyFont="1" applyFill="1" applyBorder="1" applyAlignment="1"/>
    <xf numFmtId="0" fontId="25" fillId="8" borderId="14" xfId="0" applyFont="1" applyFill="1" applyBorder="1" applyAlignment="1"/>
    <xf numFmtId="189" fontId="5" fillId="8" borderId="15" xfId="0" applyNumberFormat="1" applyFont="1" applyFill="1" applyBorder="1" applyAlignment="1">
      <alignment horizontal="right"/>
    </xf>
    <xf numFmtId="187" fontId="2" fillId="0" borderId="19" xfId="0" applyNumberFormat="1" applyFont="1" applyBorder="1" applyAlignment="1"/>
    <xf numFmtId="187" fontId="2" fillId="0" borderId="0" xfId="0" applyNumberFormat="1" applyFont="1" applyAlignment="1"/>
    <xf numFmtId="0" fontId="5" fillId="0" borderId="0" xfId="0" quotePrefix="1" applyFont="1" applyAlignment="1"/>
    <xf numFmtId="0" fontId="2" fillId="0" borderId="0" xfId="0" applyFont="1" applyAlignment="1"/>
    <xf numFmtId="0" fontId="2" fillId="0" borderId="20" xfId="0" applyFont="1" applyBorder="1" applyAlignment="1"/>
    <xf numFmtId="189" fontId="5" fillId="2" borderId="20" xfId="0" applyNumberFormat="1" applyFont="1" applyFill="1" applyBorder="1" applyAlignment="1">
      <alignment horizontal="right"/>
    </xf>
    <xf numFmtId="188" fontId="5" fillId="0" borderId="20" xfId="0" applyNumberFormat="1" applyFont="1" applyBorder="1" applyAlignment="1">
      <alignment horizontal="right"/>
    </xf>
    <xf numFmtId="188" fontId="2" fillId="0" borderId="20" xfId="0" applyNumberFormat="1" applyFont="1" applyBorder="1" applyAlignment="1"/>
    <xf numFmtId="187" fontId="26" fillId="25" borderId="5" xfId="0" applyNumberFormat="1" applyFont="1" applyFill="1" applyBorder="1" applyAlignment="1"/>
    <xf numFmtId="187" fontId="27" fillId="25" borderId="6" xfId="0" applyNumberFormat="1" applyFont="1" applyFill="1" applyBorder="1" applyAlignment="1"/>
    <xf numFmtId="0" fontId="27" fillId="25" borderId="6" xfId="0" applyFont="1" applyFill="1" applyBorder="1" applyAlignment="1"/>
    <xf numFmtId="189" fontId="27" fillId="25" borderId="6" xfId="0" applyNumberFormat="1" applyFont="1" applyFill="1" applyBorder="1" applyAlignment="1"/>
    <xf numFmtId="188" fontId="27" fillId="25" borderId="6" xfId="0" applyNumberFormat="1" applyFont="1" applyFill="1" applyBorder="1" applyAlignment="1"/>
    <xf numFmtId="188" fontId="2" fillId="25" borderId="6" xfId="0" applyNumberFormat="1" applyFont="1" applyFill="1" applyBorder="1" applyAlignment="1"/>
    <xf numFmtId="188" fontId="2" fillId="25" borderId="7" xfId="0" applyNumberFormat="1" applyFont="1" applyFill="1" applyBorder="1" applyAlignment="1"/>
    <xf numFmtId="187" fontId="1" fillId="26" borderId="13" xfId="0" applyNumberFormat="1" applyFont="1" applyFill="1" applyBorder="1" applyAlignment="1"/>
    <xf numFmtId="0" fontId="2" fillId="26" borderId="14" xfId="0" applyFont="1" applyFill="1" applyBorder="1" applyAlignment="1"/>
    <xf numFmtId="187" fontId="2" fillId="26" borderId="14" xfId="0" applyNumberFormat="1" applyFont="1" applyFill="1" applyBorder="1" applyAlignment="1"/>
    <xf numFmtId="189" fontId="2" fillId="26" borderId="14" xfId="0" applyNumberFormat="1" applyFont="1" applyFill="1" applyBorder="1" applyAlignment="1"/>
    <xf numFmtId="189" fontId="2" fillId="26" borderId="15" xfId="0" applyNumberFormat="1" applyFont="1" applyFill="1" applyBorder="1" applyAlignment="1"/>
    <xf numFmtId="188" fontId="2" fillId="26" borderId="15" xfId="0" applyNumberFormat="1" applyFont="1" applyFill="1" applyBorder="1" applyAlignment="1"/>
    <xf numFmtId="190" fontId="2" fillId="27" borderId="13" xfId="0" applyNumberFormat="1" applyFont="1" applyFill="1" applyBorder="1" applyAlignment="1"/>
    <xf numFmtId="0" fontId="1" fillId="27" borderId="14" xfId="0" applyFont="1" applyFill="1" applyBorder="1" applyAlignment="1"/>
    <xf numFmtId="0" fontId="2" fillId="27" borderId="14" xfId="0" applyFont="1" applyFill="1" applyBorder="1" applyAlignment="1"/>
    <xf numFmtId="187" fontId="2" fillId="27" borderId="14" xfId="0" applyNumberFormat="1" applyFont="1" applyFill="1" applyBorder="1" applyAlignment="1"/>
    <xf numFmtId="0" fontId="2" fillId="27" borderId="15" xfId="0" applyFont="1" applyFill="1" applyBorder="1" applyAlignment="1"/>
    <xf numFmtId="0" fontId="1" fillId="27" borderId="15" xfId="0" applyFont="1" applyFill="1" applyBorder="1" applyAlignment="1">
      <alignment horizontal="center" wrapText="1"/>
    </xf>
    <xf numFmtId="189" fontId="1" fillId="27" borderId="15" xfId="0" applyNumberFormat="1" applyFont="1" applyFill="1" applyBorder="1" applyAlignment="1">
      <alignment horizontal="right"/>
    </xf>
    <xf numFmtId="188" fontId="1" fillId="27" borderId="15" xfId="0" applyNumberFormat="1" applyFont="1" applyFill="1" applyBorder="1" applyAlignment="1">
      <alignment horizontal="right"/>
    </xf>
    <xf numFmtId="188" fontId="2" fillId="27" borderId="15" xfId="0" applyNumberFormat="1" applyFont="1" applyFill="1" applyBorder="1" applyAlignment="1"/>
    <xf numFmtId="0" fontId="1" fillId="0" borderId="14" xfId="0" applyFont="1" applyBorder="1" applyAlignment="1"/>
    <xf numFmtId="187" fontId="2" fillId="8" borderId="19" xfId="0" applyNumberFormat="1" applyFont="1" applyFill="1" applyBorder="1" applyAlignment="1"/>
    <xf numFmtId="187" fontId="2" fillId="8" borderId="0" xfId="0" applyNumberFormat="1" applyFont="1" applyFill="1" applyAlignment="1"/>
    <xf numFmtId="0" fontId="2" fillId="8" borderId="0" xfId="0" applyFont="1" applyFill="1" applyAlignment="1"/>
    <xf numFmtId="0" fontId="5" fillId="8" borderId="0" xfId="0" applyFont="1" applyFill="1" applyAlignment="1"/>
    <xf numFmtId="0" fontId="2" fillId="8" borderId="20" xfId="0" applyFont="1" applyFill="1" applyBorder="1" applyAlignment="1"/>
    <xf numFmtId="0" fontId="5" fillId="8" borderId="20" xfId="0" applyFont="1" applyFill="1" applyBorder="1" applyAlignment="1">
      <alignment horizontal="center"/>
    </xf>
    <xf numFmtId="189" fontId="5" fillId="8" borderId="20" xfId="0" applyNumberFormat="1" applyFont="1" applyFill="1" applyBorder="1" applyAlignment="1">
      <alignment horizontal="right"/>
    </xf>
    <xf numFmtId="188" fontId="5" fillId="8" borderId="20" xfId="0" applyNumberFormat="1" applyFont="1" applyFill="1" applyBorder="1" applyAlignment="1">
      <alignment horizontal="right"/>
    </xf>
    <xf numFmtId="188" fontId="2" fillId="8" borderId="20" xfId="0" applyNumberFormat="1" applyFont="1" applyFill="1" applyBorder="1" applyAlignment="1"/>
    <xf numFmtId="187" fontId="1" fillId="28" borderId="5" xfId="0" applyNumberFormat="1" applyFont="1" applyFill="1" applyBorder="1" applyAlignment="1"/>
    <xf numFmtId="187" fontId="2" fillId="28" borderId="6" xfId="0" applyNumberFormat="1" applyFont="1" applyFill="1" applyBorder="1" applyAlignment="1"/>
    <xf numFmtId="0" fontId="2" fillId="28" borderId="6" xfId="0" applyFont="1" applyFill="1" applyBorder="1" applyAlignment="1"/>
    <xf numFmtId="189" fontId="2" fillId="28" borderId="6" xfId="0" applyNumberFormat="1" applyFont="1" applyFill="1" applyBorder="1" applyAlignment="1"/>
    <xf numFmtId="188" fontId="2" fillId="28" borderId="6" xfId="0" applyNumberFormat="1" applyFont="1" applyFill="1" applyBorder="1" applyAlignment="1"/>
    <xf numFmtId="188" fontId="2" fillId="28" borderId="7" xfId="0" applyNumberFormat="1" applyFont="1" applyFill="1" applyBorder="1" applyAlignment="1"/>
    <xf numFmtId="187" fontId="1" fillId="29" borderId="13" xfId="0" applyNumberFormat="1" applyFont="1" applyFill="1" applyBorder="1" applyAlignment="1"/>
    <xf numFmtId="187" fontId="2" fillId="29" borderId="14" xfId="0" applyNumberFormat="1" applyFont="1" applyFill="1" applyBorder="1" applyAlignment="1"/>
    <xf numFmtId="0" fontId="2" fillId="29" borderId="14" xfId="0" applyFont="1" applyFill="1" applyBorder="1" applyAlignment="1"/>
    <xf numFmtId="0" fontId="2" fillId="29" borderId="15" xfId="0" applyFont="1" applyFill="1" applyBorder="1" applyAlignment="1"/>
    <xf numFmtId="189" fontId="2" fillId="29" borderId="15" xfId="0" applyNumberFormat="1" applyFont="1" applyFill="1" applyBorder="1" applyAlignment="1"/>
    <xf numFmtId="188" fontId="2" fillId="29" borderId="15" xfId="0" applyNumberFormat="1" applyFont="1" applyFill="1" applyBorder="1" applyAlignment="1"/>
    <xf numFmtId="187" fontId="2" fillId="30" borderId="13" xfId="0" applyNumberFormat="1" applyFont="1" applyFill="1" applyBorder="1" applyAlignment="1"/>
    <xf numFmtId="0" fontId="1" fillId="30" borderId="14" xfId="0" applyFont="1" applyFill="1" applyBorder="1" applyAlignment="1"/>
    <xf numFmtId="0" fontId="2" fillId="30" borderId="14" xfId="0" applyFont="1" applyFill="1" applyBorder="1" applyAlignment="1"/>
    <xf numFmtId="0" fontId="2" fillId="30" borderId="15" xfId="0" applyFont="1" applyFill="1" applyBorder="1" applyAlignment="1"/>
    <xf numFmtId="0" fontId="1" fillId="30" borderId="15" xfId="0" applyFont="1" applyFill="1" applyBorder="1" applyAlignment="1">
      <alignment horizontal="center" wrapText="1"/>
    </xf>
    <xf numFmtId="189" fontId="1" fillId="30" borderId="15" xfId="0" applyNumberFormat="1" applyFont="1" applyFill="1" applyBorder="1" applyAlignment="1">
      <alignment horizontal="right"/>
    </xf>
    <xf numFmtId="188" fontId="1" fillId="30" borderId="15" xfId="0" applyNumberFormat="1" applyFont="1" applyFill="1" applyBorder="1" applyAlignment="1">
      <alignment horizontal="right"/>
    </xf>
    <xf numFmtId="188" fontId="2" fillId="30" borderId="15" xfId="0" applyNumberFormat="1" applyFont="1" applyFill="1" applyBorder="1" applyAlignment="1"/>
    <xf numFmtId="190" fontId="2" fillId="30" borderId="13" xfId="0" applyNumberFormat="1" applyFont="1" applyFill="1" applyBorder="1" applyAlignment="1"/>
    <xf numFmtId="190" fontId="2" fillId="30" borderId="14" xfId="0" applyNumberFormat="1" applyFont="1" applyFill="1" applyBorder="1" applyAlignment="1"/>
    <xf numFmtId="187" fontId="2" fillId="30" borderId="14" xfId="0" applyNumberFormat="1" applyFont="1" applyFill="1" applyBorder="1" applyAlignment="1"/>
    <xf numFmtId="189" fontId="28" fillId="30" borderId="25" xfId="0" applyNumberFormat="1" applyFont="1" applyFill="1" applyBorder="1" applyAlignment="1">
      <alignment horizontal="right"/>
    </xf>
    <xf numFmtId="189" fontId="28" fillId="30" borderId="18" xfId="0" applyNumberFormat="1" applyFont="1" applyFill="1" applyBorder="1" applyAlignment="1">
      <alignment horizontal="right"/>
    </xf>
    <xf numFmtId="188" fontId="28" fillId="30" borderId="18" xfId="0" applyNumberFormat="1" applyFont="1" applyFill="1" applyBorder="1" applyAlignment="1">
      <alignment horizontal="right"/>
    </xf>
    <xf numFmtId="0" fontId="1" fillId="21" borderId="14" xfId="0" applyFont="1" applyFill="1" applyBorder="1" applyAlignment="1"/>
    <xf numFmtId="0" fontId="2" fillId="2" borderId="21" xfId="0" applyFont="1" applyFill="1" applyBorder="1" applyAlignment="1"/>
    <xf numFmtId="189" fontId="2" fillId="2" borderId="21" xfId="0" applyNumberFormat="1" applyFont="1" applyFill="1" applyBorder="1" applyAlignment="1"/>
    <xf numFmtId="188" fontId="2" fillId="2" borderId="21" xfId="0" applyNumberFormat="1" applyFont="1" applyFill="1" applyBorder="1" applyAlignment="1"/>
    <xf numFmtId="187" fontId="29" fillId="23" borderId="16" xfId="0" applyNumberFormat="1" applyFont="1" applyFill="1" applyBorder="1" applyAlignment="1"/>
    <xf numFmtId="0" fontId="29" fillId="23" borderId="17" xfId="0" applyFont="1" applyFill="1" applyBorder="1" applyAlignment="1"/>
    <xf numFmtId="187" fontId="29" fillId="23" borderId="17" xfId="0" applyNumberFormat="1" applyFont="1" applyFill="1" applyBorder="1" applyAlignment="1"/>
    <xf numFmtId="187" fontId="30" fillId="23" borderId="17" xfId="0" applyNumberFormat="1" applyFont="1" applyFill="1" applyBorder="1" applyAlignment="1"/>
    <xf numFmtId="0" fontId="29" fillId="23" borderId="18" xfId="0" applyFont="1" applyFill="1" applyBorder="1" applyAlignment="1"/>
    <xf numFmtId="0" fontId="28" fillId="23" borderId="18" xfId="0" applyFont="1" applyFill="1" applyBorder="1" applyAlignment="1">
      <alignment horizontal="center" wrapText="1"/>
    </xf>
    <xf numFmtId="189" fontId="28" fillId="23" borderId="18" xfId="0" applyNumberFormat="1" applyFont="1" applyFill="1" applyBorder="1" applyAlignment="1">
      <alignment horizontal="right"/>
    </xf>
    <xf numFmtId="188" fontId="28" fillId="23" borderId="18" xfId="0" applyNumberFormat="1" applyFont="1" applyFill="1" applyBorder="1" applyAlignment="1">
      <alignment horizontal="right"/>
    </xf>
    <xf numFmtId="188" fontId="2" fillId="23" borderId="18" xfId="0" applyNumberFormat="1" applyFont="1" applyFill="1" applyBorder="1" applyAlignment="1"/>
    <xf numFmtId="187" fontId="29" fillId="2" borderId="13" xfId="0" applyNumberFormat="1" applyFont="1" applyFill="1" applyBorder="1" applyAlignment="1"/>
    <xf numFmtId="0" fontId="29" fillId="2" borderId="14" xfId="0" applyFont="1" applyFill="1" applyBorder="1" applyAlignment="1"/>
    <xf numFmtId="187" fontId="29" fillId="2" borderId="14" xfId="0" applyNumberFormat="1" applyFont="1" applyFill="1" applyBorder="1" applyAlignment="1"/>
    <xf numFmtId="0" fontId="29" fillId="0" borderId="14" xfId="0" applyFont="1" applyBorder="1" applyAlignment="1"/>
    <xf numFmtId="0" fontId="22" fillId="0" borderId="14" xfId="0" applyFont="1" applyBorder="1" applyAlignment="1"/>
    <xf numFmtId="0" fontId="29" fillId="2" borderId="15" xfId="0" applyFont="1" applyFill="1" applyBorder="1" applyAlignment="1"/>
    <xf numFmtId="0" fontId="22" fillId="2" borderId="15" xfId="0" applyFont="1" applyFill="1" applyBorder="1" applyAlignment="1">
      <alignment horizontal="center" wrapText="1"/>
    </xf>
    <xf numFmtId="189" fontId="22" fillId="2" borderId="15" xfId="0" applyNumberFormat="1" applyFont="1" applyFill="1" applyBorder="1" applyAlignment="1">
      <alignment horizontal="right"/>
    </xf>
    <xf numFmtId="188" fontId="22" fillId="2" borderId="15" xfId="0" applyNumberFormat="1" applyFont="1" applyFill="1" applyBorder="1" applyAlignment="1">
      <alignment horizontal="right"/>
    </xf>
    <xf numFmtId="187" fontId="29" fillId="2" borderId="15" xfId="0" applyNumberFormat="1" applyFont="1" applyFill="1" applyBorder="1" applyAlignment="1"/>
    <xf numFmtId="189" fontId="29" fillId="2" borderId="15" xfId="0" applyNumberFormat="1" applyFont="1" applyFill="1" applyBorder="1" applyAlignment="1"/>
    <xf numFmtId="188" fontId="29" fillId="2" borderId="15" xfId="0" applyNumberFormat="1" applyFont="1" applyFill="1" applyBorder="1" applyAlignment="1"/>
    <xf numFmtId="187" fontId="22" fillId="2" borderId="15" xfId="0" applyNumberFormat="1" applyFont="1" applyFill="1" applyBorder="1" applyAlignment="1">
      <alignment horizontal="center" wrapText="1"/>
    </xf>
    <xf numFmtId="187" fontId="29" fillId="0" borderId="14" xfId="0" applyNumberFormat="1" applyFont="1" applyBorder="1" applyAlignment="1"/>
    <xf numFmtId="187" fontId="31" fillId="2" borderId="14" xfId="0" applyNumberFormat="1" applyFont="1" applyFill="1" applyBorder="1" applyAlignment="1"/>
    <xf numFmtId="187" fontId="29" fillId="23" borderId="13" xfId="0" applyNumberFormat="1" applyFont="1" applyFill="1" applyBorder="1" applyAlignment="1"/>
    <xf numFmtId="0" fontId="29" fillId="23" borderId="14" xfId="0" applyFont="1" applyFill="1" applyBorder="1" applyAlignment="1"/>
    <xf numFmtId="187" fontId="29" fillId="23" borderId="14" xfId="0" applyNumberFormat="1" applyFont="1" applyFill="1" applyBorder="1" applyAlignment="1"/>
    <xf numFmtId="0" fontId="32" fillId="23" borderId="14" xfId="0" applyFont="1" applyFill="1" applyBorder="1" applyAlignment="1"/>
    <xf numFmtId="0" fontId="29" fillId="23" borderId="15" xfId="0" applyFont="1" applyFill="1" applyBorder="1" applyAlignment="1"/>
    <xf numFmtId="0" fontId="28" fillId="23" borderId="15" xfId="0" applyFont="1" applyFill="1" applyBorder="1" applyAlignment="1">
      <alignment horizontal="center" wrapText="1"/>
    </xf>
    <xf numFmtId="189" fontId="28" fillId="23" borderId="15" xfId="0" applyNumberFormat="1" applyFont="1" applyFill="1" applyBorder="1" applyAlignment="1">
      <alignment horizontal="right"/>
    </xf>
    <xf numFmtId="188" fontId="28" fillId="23" borderId="15" xfId="0" applyNumberFormat="1" applyFont="1" applyFill="1" applyBorder="1" applyAlignment="1">
      <alignment horizontal="right"/>
    </xf>
    <xf numFmtId="187" fontId="22" fillId="2" borderId="15" xfId="0" applyNumberFormat="1" applyFont="1" applyFill="1" applyBorder="1" applyAlignment="1">
      <alignment horizontal="center"/>
    </xf>
    <xf numFmtId="189" fontId="2" fillId="30" borderId="15" xfId="0" applyNumberFormat="1" applyFont="1" applyFill="1" applyBorder="1" applyAlignment="1"/>
    <xf numFmtId="0" fontId="33" fillId="23" borderId="14" xfId="0" applyFont="1" applyFill="1" applyBorder="1" applyAlignment="1"/>
    <xf numFmtId="0" fontId="1" fillId="23" borderId="15" xfId="0" applyFont="1" applyFill="1" applyBorder="1" applyAlignment="1">
      <alignment horizontal="center"/>
    </xf>
    <xf numFmtId="189" fontId="1" fillId="23" borderId="15" xfId="0" applyNumberFormat="1" applyFont="1" applyFill="1" applyBorder="1" applyAlignment="1"/>
    <xf numFmtId="189" fontId="1" fillId="23" borderId="15" xfId="0" applyNumberFormat="1" applyFont="1" applyFill="1" applyBorder="1" applyAlignment="1"/>
    <xf numFmtId="188" fontId="1" fillId="23" borderId="15" xfId="0" applyNumberFormat="1" applyFont="1" applyFill="1" applyBorder="1" applyAlignment="1"/>
    <xf numFmtId="0" fontId="5" fillId="0" borderId="14" xfId="0" quotePrefix="1" applyFont="1" applyBorder="1" applyAlignment="1"/>
    <xf numFmtId="187" fontId="34" fillId="0" borderId="19" xfId="0" applyNumberFormat="1" applyFont="1" applyBorder="1" applyAlignment="1"/>
    <xf numFmtId="0" fontId="5" fillId="0" borderId="20" xfId="0" applyFont="1" applyBorder="1" applyAlignment="1">
      <alignment horizontal="center"/>
    </xf>
    <xf numFmtId="187" fontId="35" fillId="2" borderId="26" xfId="0" applyNumberFormat="1" applyFont="1" applyFill="1" applyBorder="1" applyAlignment="1"/>
    <xf numFmtId="0" fontId="1" fillId="2" borderId="26" xfId="0" applyFont="1" applyFill="1" applyBorder="1" applyAlignment="1"/>
    <xf numFmtId="187" fontId="2" fillId="2" borderId="26" xfId="0" applyNumberFormat="1" applyFont="1" applyFill="1" applyBorder="1" applyAlignment="1"/>
    <xf numFmtId="187" fontId="36" fillId="2" borderId="26" xfId="0" applyNumberFormat="1" applyFont="1" applyFill="1" applyBorder="1" applyAlignment="1"/>
    <xf numFmtId="0" fontId="2" fillId="2" borderId="26" xfId="0" applyFont="1" applyFill="1" applyBorder="1" applyAlignment="1"/>
    <xf numFmtId="0" fontId="2" fillId="2" borderId="27" xfId="0" applyFont="1" applyFill="1" applyBorder="1" applyAlignment="1"/>
    <xf numFmtId="189" fontId="2" fillId="2" borderId="28" xfId="0" applyNumberFormat="1" applyFont="1" applyFill="1" applyBorder="1" applyAlignment="1"/>
    <xf numFmtId="188" fontId="2" fillId="2" borderId="28" xfId="0" applyNumberFormat="1" applyFont="1" applyFill="1" applyBorder="1" applyAlignment="1"/>
    <xf numFmtId="187" fontId="1" fillId="31" borderId="5" xfId="0" applyNumberFormat="1" applyFont="1" applyFill="1" applyBorder="1" applyAlignment="1"/>
    <xf numFmtId="187" fontId="2" fillId="31" borderId="6" xfId="0" applyNumberFormat="1" applyFont="1" applyFill="1" applyBorder="1" applyAlignment="1"/>
    <xf numFmtId="0" fontId="2" fillId="31" borderId="6" xfId="0" applyFont="1" applyFill="1" applyBorder="1" applyAlignment="1"/>
    <xf numFmtId="189" fontId="2" fillId="31" borderId="6" xfId="0" applyNumberFormat="1" applyFont="1" applyFill="1" applyBorder="1" applyAlignment="1"/>
    <xf numFmtId="188" fontId="2" fillId="31" borderId="6" xfId="0" applyNumberFormat="1" applyFont="1" applyFill="1" applyBorder="1" applyAlignment="1"/>
    <xf numFmtId="188" fontId="2" fillId="31" borderId="7" xfId="0" applyNumberFormat="1" applyFont="1" applyFill="1" applyBorder="1" applyAlignment="1"/>
    <xf numFmtId="187" fontId="1" fillId="32" borderId="13" xfId="0" applyNumberFormat="1" applyFont="1" applyFill="1" applyBorder="1" applyAlignment="1"/>
    <xf numFmtId="187" fontId="2" fillId="32" borderId="14" xfId="0" applyNumberFormat="1" applyFont="1" applyFill="1" applyBorder="1" applyAlignment="1"/>
    <xf numFmtId="0" fontId="2" fillId="32" borderId="14" xfId="0" applyFont="1" applyFill="1" applyBorder="1" applyAlignment="1"/>
    <xf numFmtId="0" fontId="2" fillId="32" borderId="15" xfId="0" applyFont="1" applyFill="1" applyBorder="1" applyAlignment="1"/>
    <xf numFmtId="189" fontId="2" fillId="32" borderId="15" xfId="0" applyNumberFormat="1" applyFont="1" applyFill="1" applyBorder="1" applyAlignment="1"/>
    <xf numFmtId="188" fontId="2" fillId="32" borderId="15" xfId="0" applyNumberFormat="1" applyFont="1" applyFill="1" applyBorder="1" applyAlignment="1"/>
    <xf numFmtId="187" fontId="2" fillId="33" borderId="13" xfId="0" applyNumberFormat="1" applyFont="1" applyFill="1" applyBorder="1" applyAlignment="1"/>
    <xf numFmtId="0" fontId="1" fillId="33" borderId="14" xfId="0" applyFont="1" applyFill="1" applyBorder="1" applyAlignment="1"/>
    <xf numFmtId="187" fontId="2" fillId="33" borderId="14" xfId="0" applyNumberFormat="1" applyFont="1" applyFill="1" applyBorder="1" applyAlignment="1"/>
    <xf numFmtId="0" fontId="2" fillId="33" borderId="14" xfId="0" applyFont="1" applyFill="1" applyBorder="1" applyAlignment="1"/>
    <xf numFmtId="0" fontId="2" fillId="33" borderId="15" xfId="0" applyFont="1" applyFill="1" applyBorder="1" applyAlignment="1"/>
    <xf numFmtId="0" fontId="1" fillId="33" borderId="15" xfId="0" applyFont="1" applyFill="1" applyBorder="1" applyAlignment="1">
      <alignment horizontal="center" wrapText="1"/>
    </xf>
    <xf numFmtId="189" fontId="1" fillId="33" borderId="15" xfId="0" applyNumberFormat="1" applyFont="1" applyFill="1" applyBorder="1" applyAlignment="1">
      <alignment horizontal="right"/>
    </xf>
    <xf numFmtId="188" fontId="1" fillId="33" borderId="15" xfId="0" applyNumberFormat="1" applyFont="1" applyFill="1" applyBorder="1" applyAlignment="1">
      <alignment horizontal="right"/>
    </xf>
    <xf numFmtId="188" fontId="2" fillId="33" borderId="15" xfId="0" applyNumberFormat="1" applyFont="1" applyFill="1" applyBorder="1" applyAlignment="1"/>
    <xf numFmtId="187" fontId="2" fillId="2" borderId="8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5" fillId="0" borderId="9" xfId="0" applyFont="1" applyBorder="1" applyAlignment="1"/>
    <xf numFmtId="187" fontId="2" fillId="0" borderId="9" xfId="0" applyNumberFormat="1" applyFont="1" applyBorder="1" applyAlignment="1"/>
    <xf numFmtId="0" fontId="5" fillId="2" borderId="10" xfId="0" applyFont="1" applyFill="1" applyBorder="1" applyAlignment="1">
      <alignment horizontal="center" wrapText="1"/>
    </xf>
    <xf numFmtId="189" fontId="5" fillId="2" borderId="10" xfId="0" applyNumberFormat="1" applyFont="1" applyFill="1" applyBorder="1" applyAlignment="1">
      <alignment horizontal="right"/>
    </xf>
    <xf numFmtId="0" fontId="37" fillId="0" borderId="0" xfId="0" applyFont="1"/>
    <xf numFmtId="0" fontId="36" fillId="0" borderId="0" xfId="0" applyFont="1" applyAlignment="1"/>
    <xf numFmtId="0" fontId="38" fillId="0" borderId="0" xfId="0" applyFont="1"/>
    <xf numFmtId="0" fontId="1" fillId="8" borderId="5" xfId="0" applyFont="1" applyFill="1" applyBorder="1" applyAlignment="1"/>
    <xf numFmtId="0" fontId="3" fillId="0" borderId="6" xfId="0" applyFont="1" applyBorder="1"/>
    <xf numFmtId="0" fontId="3" fillId="0" borderId="7" xfId="0" applyFont="1" applyBorder="1"/>
    <xf numFmtId="0" fontId="1" fillId="9" borderId="8" xfId="0" applyFont="1" applyFill="1" applyBorder="1" applyAlignment="1"/>
    <xf numFmtId="0" fontId="3" fillId="0" borderId="9" xfId="0" applyFont="1" applyBorder="1"/>
    <xf numFmtId="0" fontId="3" fillId="0" borderId="10" xfId="0" applyFont="1" applyBorder="1"/>
    <xf numFmtId="0" fontId="1" fillId="8" borderId="8" xfId="0" applyFont="1" applyFill="1" applyBorder="1" applyAlignment="1"/>
    <xf numFmtId="0" fontId="1" fillId="15" borderId="5" xfId="0" applyFont="1" applyFill="1" applyBorder="1" applyAlignment="1"/>
    <xf numFmtId="0" fontId="1" fillId="16" borderId="14" xfId="0" applyFont="1" applyFill="1" applyBorder="1" applyAlignment="1"/>
    <xf numFmtId="0" fontId="3" fillId="0" borderId="14" xfId="0" applyFont="1" applyBorder="1"/>
    <xf numFmtId="0" fontId="3" fillId="0" borderId="15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8" xfId="0" applyFont="1" applyBorder="1"/>
    <xf numFmtId="0" fontId="1" fillId="4" borderId="5" xfId="0" applyFont="1" applyFill="1" applyBorder="1" applyAlignment="1">
      <alignment horizontal="center"/>
    </xf>
    <xf numFmtId="188" fontId="1" fillId="5" borderId="5" xfId="0" applyNumberFormat="1" applyFont="1" applyFill="1" applyBorder="1" applyAlignment="1">
      <alignment horizontal="center" wrapText="1"/>
    </xf>
    <xf numFmtId="188" fontId="1" fillId="6" borderId="5" xfId="0" applyNumberFormat="1" applyFont="1" applyFill="1" applyBorder="1" applyAlignment="1">
      <alignment horizontal="center"/>
    </xf>
    <xf numFmtId="0" fontId="29" fillId="0" borderId="0" xfId="0" applyFont="1" applyAlignment="1"/>
    <xf numFmtId="0" fontId="31" fillId="0" borderId="0" xfId="0" applyFont="1" applyAlignment="1"/>
    <xf numFmtId="188" fontId="29" fillId="2" borderId="10" xfId="0" applyNumberFormat="1" applyFont="1" applyFill="1" applyBorder="1" applyAlignment="1"/>
    <xf numFmtId="188" fontId="16" fillId="2" borderId="10" xfId="0" applyNumberFormat="1" applyFont="1" applyFill="1" applyBorder="1" applyAlignment="1">
      <alignment horizontal="right"/>
    </xf>
    <xf numFmtId="189" fontId="16" fillId="34" borderId="10" xfId="0" applyNumberFormat="1" applyFont="1" applyFill="1" applyBorder="1" applyAlignment="1">
      <alignment horizontal="right"/>
    </xf>
    <xf numFmtId="189" fontId="16" fillId="2" borderId="10" xfId="0" applyNumberFormat="1" applyFont="1" applyFill="1" applyBorder="1" applyAlignment="1">
      <alignment horizontal="right"/>
    </xf>
    <xf numFmtId="0" fontId="16" fillId="2" borderId="10" xfId="0" applyFont="1" applyFill="1" applyBorder="1" applyAlignment="1">
      <alignment horizontal="center" wrapText="1"/>
    </xf>
    <xf numFmtId="0" fontId="29" fillId="2" borderId="10" xfId="0" applyFont="1" applyFill="1" applyBorder="1" applyAlignment="1"/>
    <xf numFmtId="0" fontId="29" fillId="2" borderId="9" xfId="0" applyFont="1" applyFill="1" applyBorder="1" applyAlignment="1"/>
    <xf numFmtId="187" fontId="29" fillId="0" borderId="9" xfId="0" applyNumberFormat="1" applyFont="1" applyBorder="1" applyAlignment="1"/>
    <xf numFmtId="0" fontId="16" fillId="0" borderId="9" xfId="0" applyFont="1" applyBorder="1" applyAlignment="1"/>
    <xf numFmtId="187" fontId="29" fillId="2" borderId="9" xfId="0" applyNumberFormat="1" applyFont="1" applyFill="1" applyBorder="1" applyAlignment="1"/>
    <xf numFmtId="187" fontId="29" fillId="2" borderId="8" xfId="0" applyNumberFormat="1" applyFont="1" applyFill="1" applyBorder="1" applyAlignment="1"/>
    <xf numFmtId="188" fontId="16" fillId="2" borderId="15" xfId="0" applyNumberFormat="1" applyFont="1" applyFill="1" applyBorder="1" applyAlignment="1">
      <alignment horizontal="right"/>
    </xf>
    <xf numFmtId="189" fontId="16" fillId="34" borderId="15" xfId="0" applyNumberFormat="1" applyFont="1" applyFill="1" applyBorder="1" applyAlignment="1">
      <alignment horizontal="right"/>
    </xf>
    <xf numFmtId="0" fontId="16" fillId="2" borderId="15" xfId="0" applyFont="1" applyFill="1" applyBorder="1" applyAlignment="1">
      <alignment horizontal="center" wrapText="1"/>
    </xf>
    <xf numFmtId="0" fontId="16" fillId="0" borderId="14" xfId="0" applyFont="1" applyBorder="1" applyAlignment="1"/>
    <xf numFmtId="188" fontId="29" fillId="0" borderId="15" xfId="0" applyNumberFormat="1" applyFont="1" applyBorder="1" applyAlignment="1"/>
    <xf numFmtId="189" fontId="29" fillId="0" borderId="15" xfId="0" applyNumberFormat="1" applyFont="1" applyBorder="1" applyAlignment="1"/>
    <xf numFmtId="0" fontId="29" fillId="0" borderId="15" xfId="0" applyFont="1" applyBorder="1" applyAlignment="1"/>
    <xf numFmtId="0" fontId="29" fillId="21" borderId="15" xfId="0" applyFont="1" applyFill="1" applyBorder="1" applyAlignment="1"/>
    <xf numFmtId="0" fontId="29" fillId="21" borderId="14" xfId="0" applyFont="1" applyFill="1" applyBorder="1" applyAlignment="1"/>
    <xf numFmtId="0" fontId="23" fillId="21" borderId="14" xfId="0" quotePrefix="1" applyFont="1" applyFill="1" applyBorder="1" applyAlignment="1"/>
    <xf numFmtId="0" fontId="17" fillId="2" borderId="14" xfId="0" applyFont="1" applyFill="1" applyBorder="1" applyAlignment="1"/>
    <xf numFmtId="187" fontId="29" fillId="0" borderId="13" xfId="0" applyNumberFormat="1" applyFont="1" applyBorder="1" applyAlignment="1"/>
    <xf numFmtId="187" fontId="16" fillId="0" borderId="15" xfId="0" applyNumberFormat="1" applyFont="1" applyBorder="1" applyAlignment="1">
      <alignment horizontal="center"/>
    </xf>
    <xf numFmtId="0" fontId="16" fillId="2" borderId="14" xfId="0" applyFont="1" applyFill="1" applyBorder="1" applyAlignment="1"/>
    <xf numFmtId="190" fontId="29" fillId="2" borderId="13" xfId="0" applyNumberFormat="1" applyFont="1" applyFill="1" applyBorder="1" applyAlignment="1"/>
    <xf numFmtId="187" fontId="16" fillId="0" borderId="15" xfId="0" applyNumberFormat="1" applyFont="1" applyBorder="1" applyAlignment="1">
      <alignment horizontal="center" wrapText="1"/>
    </xf>
    <xf numFmtId="0" fontId="39" fillId="2" borderId="14" xfId="0" applyFont="1" applyFill="1" applyBorder="1" applyAlignment="1"/>
    <xf numFmtId="187" fontId="16" fillId="2" borderId="15" xfId="0" applyNumberFormat="1" applyFont="1" applyFill="1" applyBorder="1" applyAlignment="1">
      <alignment horizontal="center"/>
    </xf>
    <xf numFmtId="188" fontId="17" fillId="2" borderId="15" xfId="0" applyNumberFormat="1" applyFont="1" applyFill="1" applyBorder="1" applyAlignment="1">
      <alignment horizontal="right"/>
    </xf>
    <xf numFmtId="187" fontId="17" fillId="2" borderId="15" xfId="0" applyNumberFormat="1" applyFont="1" applyFill="1" applyBorder="1" applyAlignment="1">
      <alignment horizontal="center"/>
    </xf>
    <xf numFmtId="0" fontId="23" fillId="2" borderId="14" xfId="0" applyFont="1" applyFill="1" applyBorder="1" applyAlignment="1"/>
    <xf numFmtId="188" fontId="29" fillId="33" borderId="15" xfId="0" applyNumberFormat="1" applyFont="1" applyFill="1" applyBorder="1" applyAlignment="1"/>
    <xf numFmtId="188" fontId="17" fillId="33" borderId="15" xfId="0" applyNumberFormat="1" applyFont="1" applyFill="1" applyBorder="1" applyAlignment="1">
      <alignment horizontal="right"/>
    </xf>
    <xf numFmtId="189" fontId="17" fillId="33" borderId="15" xfId="0" applyNumberFormat="1" applyFont="1" applyFill="1" applyBorder="1" applyAlignment="1">
      <alignment horizontal="right"/>
    </xf>
    <xf numFmtId="0" fontId="17" fillId="33" borderId="15" xfId="0" applyFont="1" applyFill="1" applyBorder="1" applyAlignment="1">
      <alignment horizontal="center" wrapText="1"/>
    </xf>
    <xf numFmtId="0" fontId="29" fillId="33" borderId="15" xfId="0" applyFont="1" applyFill="1" applyBorder="1" applyAlignment="1"/>
    <xf numFmtId="0" fontId="29" fillId="33" borderId="14" xfId="0" applyFont="1" applyFill="1" applyBorder="1" applyAlignment="1"/>
    <xf numFmtId="187" fontId="29" fillId="33" borderId="14" xfId="0" applyNumberFormat="1" applyFont="1" applyFill="1" applyBorder="1" applyAlignment="1"/>
    <xf numFmtId="0" fontId="17" fillId="33" borderId="14" xfId="0" applyFont="1" applyFill="1" applyBorder="1" applyAlignment="1"/>
    <xf numFmtId="187" fontId="29" fillId="33" borderId="13" xfId="0" applyNumberFormat="1" applyFont="1" applyFill="1" applyBorder="1" applyAlignment="1"/>
    <xf numFmtId="188" fontId="29" fillId="32" borderId="15" xfId="0" applyNumberFormat="1" applyFont="1" applyFill="1" applyBorder="1" applyAlignment="1"/>
    <xf numFmtId="189" fontId="29" fillId="32" borderId="15" xfId="0" applyNumberFormat="1" applyFont="1" applyFill="1" applyBorder="1" applyAlignment="1"/>
    <xf numFmtId="0" fontId="29" fillId="32" borderId="15" xfId="0" applyFont="1" applyFill="1" applyBorder="1" applyAlignment="1"/>
    <xf numFmtId="187" fontId="29" fillId="32" borderId="14" xfId="0" applyNumberFormat="1" applyFont="1" applyFill="1" applyBorder="1" applyAlignment="1"/>
    <xf numFmtId="0" fontId="29" fillId="32" borderId="14" xfId="0" applyFont="1" applyFill="1" applyBorder="1" applyAlignment="1"/>
    <xf numFmtId="187" fontId="17" fillId="32" borderId="13" xfId="0" applyNumberFormat="1" applyFont="1" applyFill="1" applyBorder="1" applyAlignment="1"/>
    <xf numFmtId="188" fontId="29" fillId="31" borderId="10" xfId="0" applyNumberFormat="1" applyFont="1" applyFill="1" applyBorder="1" applyAlignment="1"/>
    <xf numFmtId="188" fontId="29" fillId="31" borderId="9" xfId="0" applyNumberFormat="1" applyFont="1" applyFill="1" applyBorder="1" applyAlignment="1"/>
    <xf numFmtId="189" fontId="29" fillId="31" borderId="9" xfId="0" applyNumberFormat="1" applyFont="1" applyFill="1" applyBorder="1" applyAlignment="1"/>
    <xf numFmtId="0" fontId="29" fillId="31" borderId="9" xfId="0" applyFont="1" applyFill="1" applyBorder="1" applyAlignment="1"/>
    <xf numFmtId="187" fontId="29" fillId="31" borderId="9" xfId="0" applyNumberFormat="1" applyFont="1" applyFill="1" applyBorder="1" applyAlignment="1"/>
    <xf numFmtId="187" fontId="17" fillId="31" borderId="8" xfId="0" applyNumberFormat="1" applyFont="1" applyFill="1" applyBorder="1" applyAlignment="1"/>
    <xf numFmtId="189" fontId="29" fillId="2" borderId="10" xfId="0" applyNumberFormat="1" applyFont="1" applyFill="1" applyBorder="1" applyAlignment="1"/>
    <xf numFmtId="187" fontId="31" fillId="2" borderId="9" xfId="0" applyNumberFormat="1" applyFont="1" applyFill="1" applyBorder="1" applyAlignment="1"/>
    <xf numFmtId="191" fontId="22" fillId="2" borderId="15" xfId="0" applyNumberFormat="1" applyFont="1" applyFill="1" applyBorder="1" applyAlignment="1">
      <alignment horizontal="right"/>
    </xf>
    <xf numFmtId="0" fontId="22" fillId="0" borderId="15" xfId="0" applyFont="1" applyBorder="1" applyAlignment="1">
      <alignment horizontal="center"/>
    </xf>
    <xf numFmtId="0" fontId="22" fillId="0" borderId="14" xfId="0" quotePrefix="1" applyFont="1" applyBorder="1" applyAlignment="1"/>
    <xf numFmtId="0" fontId="22" fillId="0" borderId="15" xfId="0" applyFont="1" applyBorder="1" applyAlignment="1">
      <alignment horizontal="center" wrapText="1"/>
    </xf>
    <xf numFmtId="0" fontId="30" fillId="21" borderId="14" xfId="0" quotePrefix="1" applyFont="1" applyFill="1" applyBorder="1" applyAlignment="1"/>
    <xf numFmtId="0" fontId="28" fillId="2" borderId="14" xfId="0" applyFont="1" applyFill="1" applyBorder="1" applyAlignment="1"/>
    <xf numFmtId="188" fontId="29" fillId="23" borderId="15" xfId="0" applyNumberFormat="1" applyFont="1" applyFill="1" applyBorder="1" applyAlignment="1"/>
    <xf numFmtId="0" fontId="28" fillId="23" borderId="15" xfId="0" applyFont="1" applyFill="1" applyBorder="1" applyAlignment="1">
      <alignment horizontal="center"/>
    </xf>
    <xf numFmtId="0" fontId="30" fillId="23" borderId="14" xfId="0" applyFont="1" applyFill="1" applyBorder="1" applyAlignment="1"/>
    <xf numFmtId="187" fontId="22" fillId="0" borderId="15" xfId="0" applyNumberFormat="1" applyFont="1" applyBorder="1" applyAlignment="1">
      <alignment horizontal="center"/>
    </xf>
    <xf numFmtId="0" fontId="40" fillId="2" borderId="14" xfId="0" applyFont="1" applyFill="1" applyBorder="1" applyAlignment="1"/>
    <xf numFmtId="187" fontId="22" fillId="0" borderId="15" xfId="0" applyNumberFormat="1" applyFont="1" applyBorder="1" applyAlignment="1">
      <alignment horizontal="center" wrapText="1"/>
    </xf>
    <xf numFmtId="188" fontId="28" fillId="2" borderId="15" xfId="0" applyNumberFormat="1" applyFont="1" applyFill="1" applyBorder="1" applyAlignment="1">
      <alignment horizontal="right"/>
    </xf>
    <xf numFmtId="187" fontId="28" fillId="2" borderId="15" xfId="0" applyNumberFormat="1" applyFont="1" applyFill="1" applyBorder="1" applyAlignment="1">
      <alignment horizontal="center"/>
    </xf>
    <xf numFmtId="0" fontId="30" fillId="2" borderId="14" xfId="0" applyFont="1" applyFill="1" applyBorder="1" applyAlignment="1"/>
    <xf numFmtId="188" fontId="29" fillId="30" borderId="15" xfId="0" applyNumberFormat="1" applyFont="1" applyFill="1" applyBorder="1" applyAlignment="1"/>
    <xf numFmtId="189" fontId="29" fillId="30" borderId="15" xfId="0" applyNumberFormat="1" applyFont="1" applyFill="1" applyBorder="1" applyAlignment="1"/>
    <xf numFmtId="0" fontId="29" fillId="30" borderId="15" xfId="0" applyFont="1" applyFill="1" applyBorder="1" applyAlignment="1"/>
    <xf numFmtId="0" fontId="29" fillId="30" borderId="14" xfId="0" applyFont="1" applyFill="1" applyBorder="1" applyAlignment="1"/>
    <xf numFmtId="187" fontId="29" fillId="30" borderId="14" xfId="0" applyNumberFormat="1" applyFont="1" applyFill="1" applyBorder="1" applyAlignment="1"/>
    <xf numFmtId="0" fontId="28" fillId="30" borderId="14" xfId="0" applyFont="1" applyFill="1" applyBorder="1" applyAlignment="1"/>
    <xf numFmtId="187" fontId="29" fillId="30" borderId="13" xfId="0" applyNumberFormat="1" applyFont="1" applyFill="1" applyBorder="1" applyAlignment="1"/>
    <xf numFmtId="188" fontId="29" fillId="23" borderId="18" xfId="0" applyNumberFormat="1" applyFont="1" applyFill="1" applyBorder="1" applyAlignment="1"/>
    <xf numFmtId="0" fontId="28" fillId="21" borderId="14" xfId="0" applyFont="1" applyFill="1" applyBorder="1" applyAlignment="1"/>
    <xf numFmtId="0" fontId="28" fillId="30" borderId="15" xfId="0" applyFont="1" applyFill="1" applyBorder="1" applyAlignment="1">
      <alignment horizontal="center" wrapText="1"/>
    </xf>
    <xf numFmtId="188" fontId="29" fillId="29" borderId="15" xfId="0" applyNumberFormat="1" applyFont="1" applyFill="1" applyBorder="1" applyAlignment="1"/>
    <xf numFmtId="189" fontId="29" fillId="29" borderId="15" xfId="0" applyNumberFormat="1" applyFont="1" applyFill="1" applyBorder="1" applyAlignment="1"/>
    <xf numFmtId="0" fontId="29" fillId="29" borderId="14" xfId="0" applyFont="1" applyFill="1" applyBorder="1" applyAlignment="1"/>
    <xf numFmtId="187" fontId="29" fillId="29" borderId="14" xfId="0" applyNumberFormat="1" applyFont="1" applyFill="1" applyBorder="1" applyAlignment="1"/>
    <xf numFmtId="187" fontId="28" fillId="29" borderId="13" xfId="0" applyNumberFormat="1" applyFont="1" applyFill="1" applyBorder="1" applyAlignment="1"/>
    <xf numFmtId="189" fontId="22" fillId="34" borderId="15" xfId="0" applyNumberFormat="1" applyFont="1" applyFill="1" applyBorder="1" applyAlignment="1">
      <alignment horizontal="right"/>
    </xf>
    <xf numFmtId="0" fontId="22" fillId="2" borderId="15" xfId="0" applyFont="1" applyFill="1" applyBorder="1" applyAlignment="1">
      <alignment horizontal="center"/>
    </xf>
    <xf numFmtId="188" fontId="28" fillId="30" borderId="15" xfId="0" applyNumberFormat="1" applyFont="1" applyFill="1" applyBorder="1" applyAlignment="1">
      <alignment horizontal="right"/>
    </xf>
    <xf numFmtId="189" fontId="28" fillId="30" borderId="15" xfId="0" applyNumberFormat="1" applyFont="1" applyFill="1" applyBorder="1" applyAlignment="1">
      <alignment horizontal="right"/>
    </xf>
    <xf numFmtId="190" fontId="29" fillId="30" borderId="14" xfId="0" applyNumberFormat="1" applyFont="1" applyFill="1" applyBorder="1" applyAlignment="1"/>
    <xf numFmtId="190" fontId="29" fillId="30" borderId="13" xfId="0" applyNumberFormat="1" applyFont="1" applyFill="1" applyBorder="1" applyAlignment="1"/>
    <xf numFmtId="0" fontId="16" fillId="2" borderId="15" xfId="0" applyFont="1" applyFill="1" applyBorder="1" applyAlignment="1">
      <alignment horizontal="center"/>
    </xf>
    <xf numFmtId="0" fontId="29" fillId="29" borderId="15" xfId="0" applyFont="1" applyFill="1" applyBorder="1" applyAlignment="1"/>
    <xf numFmtId="188" fontId="29" fillId="28" borderId="10" xfId="0" applyNumberFormat="1" applyFont="1" applyFill="1" applyBorder="1" applyAlignment="1"/>
    <xf numFmtId="188" fontId="29" fillId="28" borderId="9" xfId="0" applyNumberFormat="1" applyFont="1" applyFill="1" applyBorder="1" applyAlignment="1"/>
    <xf numFmtId="189" fontId="29" fillId="28" borderId="9" xfId="0" applyNumberFormat="1" applyFont="1" applyFill="1" applyBorder="1" applyAlignment="1"/>
    <xf numFmtId="0" fontId="29" fillId="28" borderId="9" xfId="0" applyFont="1" applyFill="1" applyBorder="1" applyAlignment="1"/>
    <xf numFmtId="187" fontId="29" fillId="28" borderId="9" xfId="0" applyNumberFormat="1" applyFont="1" applyFill="1" applyBorder="1" applyAlignment="1"/>
    <xf numFmtId="187" fontId="28" fillId="28" borderId="8" xfId="0" applyNumberFormat="1" applyFont="1" applyFill="1" applyBorder="1" applyAlignment="1"/>
    <xf numFmtId="188" fontId="29" fillId="8" borderId="10" xfId="0" applyNumberFormat="1" applyFont="1" applyFill="1" applyBorder="1" applyAlignment="1"/>
    <xf numFmtId="189" fontId="29" fillId="8" borderId="10" xfId="0" applyNumberFormat="1" applyFont="1" applyFill="1" applyBorder="1" applyAlignment="1"/>
    <xf numFmtId="0" fontId="29" fillId="8" borderId="10" xfId="0" applyFont="1" applyFill="1" applyBorder="1" applyAlignment="1"/>
    <xf numFmtId="0" fontId="29" fillId="8" borderId="9" xfId="0" applyFont="1" applyFill="1" applyBorder="1" applyAlignment="1"/>
    <xf numFmtId="187" fontId="29" fillId="8" borderId="9" xfId="0" applyNumberFormat="1" applyFont="1" applyFill="1" applyBorder="1" applyAlignment="1"/>
    <xf numFmtId="187" fontId="29" fillId="8" borderId="8" xfId="0" applyNumberFormat="1" applyFont="1" applyFill="1" applyBorder="1" applyAlignment="1"/>
    <xf numFmtId="188" fontId="29" fillId="8" borderId="15" xfId="0" applyNumberFormat="1" applyFont="1" applyFill="1" applyBorder="1" applyAlignment="1"/>
    <xf numFmtId="189" fontId="29" fillId="8" borderId="15" xfId="0" applyNumberFormat="1" applyFont="1" applyFill="1" applyBorder="1" applyAlignment="1"/>
    <xf numFmtId="0" fontId="29" fillId="8" borderId="15" xfId="0" applyFont="1" applyFill="1" applyBorder="1" applyAlignment="1"/>
    <xf numFmtId="0" fontId="29" fillId="8" borderId="14" xfId="0" applyFont="1" applyFill="1" applyBorder="1" applyAlignment="1"/>
    <xf numFmtId="187" fontId="29" fillId="8" borderId="14" xfId="0" applyNumberFormat="1" applyFont="1" applyFill="1" applyBorder="1" applyAlignment="1"/>
    <xf numFmtId="187" fontId="29" fillId="8" borderId="13" xfId="0" applyNumberFormat="1" applyFont="1" applyFill="1" applyBorder="1" applyAlignment="1"/>
    <xf numFmtId="188" fontId="22" fillId="0" borderId="15" xfId="0" applyNumberFormat="1" applyFont="1" applyBorder="1" applyAlignment="1">
      <alignment horizontal="right"/>
    </xf>
    <xf numFmtId="189" fontId="22" fillId="0" borderId="15" xfId="0" applyNumberFormat="1" applyFont="1" applyBorder="1" applyAlignment="1">
      <alignment horizontal="right"/>
    </xf>
    <xf numFmtId="0" fontId="28" fillId="0" borderId="14" xfId="0" applyFont="1" applyBorder="1" applyAlignment="1"/>
    <xf numFmtId="188" fontId="28" fillId="0" borderId="15" xfId="0" applyNumberFormat="1" applyFont="1" applyBorder="1" applyAlignment="1">
      <alignment horizontal="right"/>
    </xf>
    <xf numFmtId="189" fontId="28" fillId="2" borderId="15" xfId="0" applyNumberFormat="1" applyFont="1" applyFill="1" applyBorder="1" applyAlignment="1">
      <alignment horizontal="right"/>
    </xf>
    <xf numFmtId="0" fontId="28" fillId="0" borderId="15" xfId="0" applyFont="1" applyBorder="1" applyAlignment="1">
      <alignment horizontal="center" wrapText="1"/>
    </xf>
    <xf numFmtId="188" fontId="29" fillId="27" borderId="15" xfId="0" applyNumberFormat="1" applyFont="1" applyFill="1" applyBorder="1" applyAlignment="1"/>
    <xf numFmtId="188" fontId="28" fillId="27" borderId="15" xfId="0" applyNumberFormat="1" applyFont="1" applyFill="1" applyBorder="1" applyAlignment="1">
      <alignment horizontal="right"/>
    </xf>
    <xf numFmtId="189" fontId="28" fillId="27" borderId="15" xfId="0" applyNumberFormat="1" applyFont="1" applyFill="1" applyBorder="1" applyAlignment="1">
      <alignment horizontal="right"/>
    </xf>
    <xf numFmtId="0" fontId="28" fillId="27" borderId="15" xfId="0" applyFont="1" applyFill="1" applyBorder="1" applyAlignment="1">
      <alignment horizontal="center" wrapText="1"/>
    </xf>
    <xf numFmtId="0" fontId="29" fillId="27" borderId="15" xfId="0" applyFont="1" applyFill="1" applyBorder="1" applyAlignment="1"/>
    <xf numFmtId="0" fontId="29" fillId="27" borderId="14" xfId="0" applyFont="1" applyFill="1" applyBorder="1" applyAlignment="1"/>
    <xf numFmtId="187" fontId="29" fillId="27" borderId="14" xfId="0" applyNumberFormat="1" applyFont="1" applyFill="1" applyBorder="1" applyAlignment="1"/>
    <xf numFmtId="190" fontId="29" fillId="27" borderId="13" xfId="0" applyNumberFormat="1" applyFont="1" applyFill="1" applyBorder="1" applyAlignment="1"/>
    <xf numFmtId="0" fontId="28" fillId="27" borderId="14" xfId="0" applyFont="1" applyFill="1" applyBorder="1" applyAlignment="1"/>
    <xf numFmtId="188" fontId="29" fillId="26" borderId="15" xfId="0" applyNumberFormat="1" applyFont="1" applyFill="1" applyBorder="1" applyAlignment="1"/>
    <xf numFmtId="189" fontId="29" fillId="26" borderId="15" xfId="0" applyNumberFormat="1" applyFont="1" applyFill="1" applyBorder="1" applyAlignment="1"/>
    <xf numFmtId="189" fontId="29" fillId="26" borderId="14" xfId="0" applyNumberFormat="1" applyFont="1" applyFill="1" applyBorder="1" applyAlignment="1"/>
    <xf numFmtId="0" fontId="29" fillId="26" borderId="14" xfId="0" applyFont="1" applyFill="1" applyBorder="1" applyAlignment="1"/>
    <xf numFmtId="187" fontId="29" fillId="26" borderId="14" xfId="0" applyNumberFormat="1" applyFont="1" applyFill="1" applyBorder="1" applyAlignment="1"/>
    <xf numFmtId="187" fontId="28" fillId="26" borderId="13" xfId="0" applyNumberFormat="1" applyFont="1" applyFill="1" applyBorder="1" applyAlignment="1"/>
    <xf numFmtId="188" fontId="29" fillId="25" borderId="10" xfId="0" applyNumberFormat="1" applyFont="1" applyFill="1" applyBorder="1" applyAlignment="1"/>
    <xf numFmtId="188" fontId="29" fillId="25" borderId="9" xfId="0" applyNumberFormat="1" applyFont="1" applyFill="1" applyBorder="1" applyAlignment="1"/>
    <xf numFmtId="189" fontId="29" fillId="25" borderId="9" xfId="0" applyNumberFormat="1" applyFont="1" applyFill="1" applyBorder="1" applyAlignment="1"/>
    <xf numFmtId="0" fontId="29" fillId="25" borderId="9" xfId="0" applyFont="1" applyFill="1" applyBorder="1" applyAlignment="1"/>
    <xf numFmtId="187" fontId="29" fillId="25" borderId="9" xfId="0" applyNumberFormat="1" applyFont="1" applyFill="1" applyBorder="1" applyAlignment="1"/>
    <xf numFmtId="187" fontId="26" fillId="25" borderId="8" xfId="0" applyNumberFormat="1" applyFont="1" applyFill="1" applyBorder="1" applyAlignment="1"/>
    <xf numFmtId="188" fontId="29" fillId="0" borderId="10" xfId="0" applyNumberFormat="1" applyFont="1" applyBorder="1" applyAlignment="1"/>
    <xf numFmtId="188" fontId="16" fillId="0" borderId="10" xfId="0" applyNumberFormat="1" applyFont="1" applyBorder="1" applyAlignment="1">
      <alignment horizontal="right"/>
    </xf>
    <xf numFmtId="0" fontId="16" fillId="2" borderId="10" xfId="0" applyFont="1" applyFill="1" applyBorder="1" applyAlignment="1">
      <alignment horizontal="center"/>
    </xf>
    <xf numFmtId="0" fontId="29" fillId="0" borderId="10" xfId="0" applyFont="1" applyBorder="1" applyAlignment="1"/>
    <xf numFmtId="0" fontId="29" fillId="0" borderId="9" xfId="0" applyFont="1" applyBorder="1" applyAlignment="1"/>
    <xf numFmtId="0" fontId="16" fillId="0" borderId="9" xfId="0" quotePrefix="1" applyFont="1" applyBorder="1" applyAlignment="1"/>
    <xf numFmtId="187" fontId="29" fillId="0" borderId="8" xfId="0" applyNumberFormat="1" applyFont="1" applyBorder="1" applyAlignment="1"/>
    <xf numFmtId="188" fontId="29" fillId="21" borderId="15" xfId="0" applyNumberFormat="1" applyFont="1" applyFill="1" applyBorder="1" applyAlignment="1"/>
    <xf numFmtId="188" fontId="17" fillId="21" borderId="15" xfId="0" applyNumberFormat="1" applyFont="1" applyFill="1" applyBorder="1" applyAlignment="1">
      <alignment horizontal="right"/>
    </xf>
    <xf numFmtId="189" fontId="29" fillId="21" borderId="15" xfId="0" applyNumberFormat="1" applyFont="1" applyFill="1" applyBorder="1" applyAlignment="1"/>
    <xf numFmtId="0" fontId="17" fillId="21" borderId="15" xfId="0" applyFont="1" applyFill="1" applyBorder="1" applyAlignment="1">
      <alignment horizontal="center" wrapText="1"/>
    </xf>
    <xf numFmtId="187" fontId="29" fillId="21" borderId="14" xfId="0" applyNumberFormat="1" applyFont="1" applyFill="1" applyBorder="1" applyAlignment="1"/>
    <xf numFmtId="0" fontId="17" fillId="21" borderId="14" xfId="0" applyFont="1" applyFill="1" applyBorder="1" applyAlignment="1"/>
    <xf numFmtId="187" fontId="29" fillId="21" borderId="13" xfId="0" applyNumberFormat="1" applyFont="1" applyFill="1" applyBorder="1" applyAlignment="1"/>
    <xf numFmtId="188" fontId="29" fillId="22" borderId="15" xfId="0" applyNumberFormat="1" applyFont="1" applyFill="1" applyBorder="1" applyAlignment="1"/>
    <xf numFmtId="189" fontId="29" fillId="22" borderId="15" xfId="0" applyNumberFormat="1" applyFont="1" applyFill="1" applyBorder="1" applyAlignment="1"/>
    <xf numFmtId="0" fontId="29" fillId="22" borderId="15" xfId="0" applyFont="1" applyFill="1" applyBorder="1" applyAlignment="1"/>
    <xf numFmtId="0" fontId="29" fillId="22" borderId="14" xfId="0" applyFont="1" applyFill="1" applyBorder="1" applyAlignment="1"/>
    <xf numFmtId="187" fontId="29" fillId="22" borderId="14" xfId="0" applyNumberFormat="1" applyFont="1" applyFill="1" applyBorder="1" applyAlignment="1"/>
    <xf numFmtId="187" fontId="17" fillId="22" borderId="13" xfId="0" applyNumberFormat="1" applyFont="1" applyFill="1" applyBorder="1" applyAlignment="1"/>
    <xf numFmtId="0" fontId="16" fillId="0" borderId="15" xfId="0" applyFont="1" applyBorder="1" applyAlignment="1">
      <alignment horizontal="center"/>
    </xf>
    <xf numFmtId="0" fontId="16" fillId="0" borderId="14" xfId="0" quotePrefix="1" applyFont="1" applyBorder="1" applyAlignment="1"/>
    <xf numFmtId="187" fontId="16" fillId="0" borderId="14" xfId="0" quotePrefix="1" applyNumberFormat="1" applyFont="1" applyBorder="1" applyAlignment="1"/>
    <xf numFmtId="187" fontId="17" fillId="2" borderId="14" xfId="0" applyNumberFormat="1" applyFont="1" applyFill="1" applyBorder="1" applyAlignment="1"/>
    <xf numFmtId="188" fontId="16" fillId="34" borderId="15" xfId="0" applyNumberFormat="1" applyFont="1" applyFill="1" applyBorder="1" applyAlignment="1">
      <alignment horizontal="right"/>
    </xf>
    <xf numFmtId="187" fontId="17" fillId="0" borderId="15" xfId="0" applyNumberFormat="1" applyFont="1" applyBorder="1" applyAlignment="1">
      <alignment horizontal="center" wrapText="1"/>
    </xf>
    <xf numFmtId="0" fontId="23" fillId="2" borderId="14" xfId="0" quotePrefix="1" applyFont="1" applyFill="1" applyBorder="1" applyAlignment="1"/>
    <xf numFmtId="188" fontId="17" fillId="23" borderId="15" xfId="0" applyNumberFormat="1" applyFont="1" applyFill="1" applyBorder="1" applyAlignment="1">
      <alignment horizontal="right"/>
    </xf>
    <xf numFmtId="189" fontId="17" fillId="23" borderId="15" xfId="0" applyNumberFormat="1" applyFont="1" applyFill="1" applyBorder="1" applyAlignment="1">
      <alignment horizontal="right"/>
    </xf>
    <xf numFmtId="0" fontId="17" fillId="23" borderId="15" xfId="0" applyFont="1" applyFill="1" applyBorder="1" applyAlignment="1">
      <alignment horizontal="center" wrapText="1"/>
    </xf>
    <xf numFmtId="0" fontId="17" fillId="23" borderId="14" xfId="0" applyFont="1" applyFill="1" applyBorder="1" applyAlignment="1"/>
    <xf numFmtId="187" fontId="22" fillId="0" borderId="14" xfId="0" quotePrefix="1" applyNumberFormat="1" applyFont="1" applyBorder="1" applyAlignment="1"/>
    <xf numFmtId="187" fontId="28" fillId="2" borderId="14" xfId="0" applyNumberFormat="1" applyFont="1" applyFill="1" applyBorder="1" applyAlignment="1"/>
    <xf numFmtId="187" fontId="28" fillId="0" borderId="15" xfId="0" applyNumberFormat="1" applyFont="1" applyBorder="1" applyAlignment="1">
      <alignment horizontal="center" wrapText="1"/>
    </xf>
    <xf numFmtId="0" fontId="28" fillId="23" borderId="14" xfId="0" applyFont="1" applyFill="1" applyBorder="1" applyAlignment="1"/>
    <xf numFmtId="188" fontId="22" fillId="34" borderId="15" xfId="0" applyNumberFormat="1" applyFont="1" applyFill="1" applyBorder="1" applyAlignment="1">
      <alignment horizontal="right"/>
    </xf>
    <xf numFmtId="0" fontId="30" fillId="2" borderId="14" xfId="0" quotePrefix="1" applyFont="1" applyFill="1" applyBorder="1" applyAlignment="1"/>
    <xf numFmtId="0" fontId="22" fillId="0" borderId="15" xfId="0" applyFont="1" applyBorder="1" applyAlignment="1"/>
    <xf numFmtId="188" fontId="28" fillId="34" borderId="15" xfId="0" applyNumberFormat="1" applyFont="1" applyFill="1" applyBorder="1" applyAlignment="1">
      <alignment horizontal="right"/>
    </xf>
    <xf numFmtId="188" fontId="28" fillId="21" borderId="15" xfId="0" applyNumberFormat="1" applyFont="1" applyFill="1" applyBorder="1" applyAlignment="1">
      <alignment horizontal="right"/>
    </xf>
    <xf numFmtId="189" fontId="28" fillId="21" borderId="15" xfId="0" applyNumberFormat="1" applyFont="1" applyFill="1" applyBorder="1" applyAlignment="1">
      <alignment horizontal="right"/>
    </xf>
    <xf numFmtId="0" fontId="28" fillId="21" borderId="15" xfId="0" applyFont="1" applyFill="1" applyBorder="1" applyAlignment="1">
      <alignment horizontal="center" wrapText="1"/>
    </xf>
    <xf numFmtId="187" fontId="16" fillId="2" borderId="14" xfId="0" applyNumberFormat="1" applyFont="1" applyFill="1" applyBorder="1" applyAlignment="1"/>
    <xf numFmtId="187" fontId="22" fillId="2" borderId="14" xfId="0" applyNumberFormat="1" applyFont="1" applyFill="1" applyBorder="1" applyAlignment="1"/>
    <xf numFmtId="187" fontId="29" fillId="0" borderId="15" xfId="0" applyNumberFormat="1" applyFont="1" applyBorder="1" applyAlignment="1"/>
    <xf numFmtId="187" fontId="28" fillId="22" borderId="13" xfId="0" applyNumberFormat="1" applyFont="1" applyFill="1" applyBorder="1" applyAlignment="1"/>
    <xf numFmtId="188" fontId="29" fillId="7" borderId="10" xfId="0" applyNumberFormat="1" applyFont="1" applyFill="1" applyBorder="1" applyAlignment="1"/>
    <xf numFmtId="188" fontId="29" fillId="7" borderId="9" xfId="0" applyNumberFormat="1" applyFont="1" applyFill="1" applyBorder="1" applyAlignment="1"/>
    <xf numFmtId="189" fontId="29" fillId="7" borderId="9" xfId="0" applyNumberFormat="1" applyFont="1" applyFill="1" applyBorder="1" applyAlignment="1"/>
    <xf numFmtId="0" fontId="29" fillId="7" borderId="9" xfId="0" applyFont="1" applyFill="1" applyBorder="1" applyAlignment="1"/>
    <xf numFmtId="187" fontId="29" fillId="7" borderId="9" xfId="0" applyNumberFormat="1" applyFont="1" applyFill="1" applyBorder="1" applyAlignment="1"/>
    <xf numFmtId="187" fontId="28" fillId="7" borderId="8" xfId="0" applyNumberFormat="1" applyFont="1" applyFill="1" applyBorder="1" applyAlignment="1"/>
    <xf numFmtId="187" fontId="16" fillId="0" borderId="10" xfId="0" applyNumberFormat="1" applyFont="1" applyBorder="1" applyAlignment="1">
      <alignment horizontal="center"/>
    </xf>
    <xf numFmtId="0" fontId="16" fillId="2" borderId="9" xfId="0" applyFont="1" applyFill="1" applyBorder="1" applyAlignment="1"/>
    <xf numFmtId="190" fontId="29" fillId="2" borderId="8" xfId="0" applyNumberFormat="1" applyFont="1" applyFill="1" applyBorder="1" applyAlignment="1"/>
    <xf numFmtId="188" fontId="29" fillId="10" borderId="15" xfId="0" applyNumberFormat="1" applyFont="1" applyFill="1" applyBorder="1" applyAlignment="1"/>
    <xf numFmtId="188" fontId="28" fillId="10" borderId="15" xfId="0" applyNumberFormat="1" applyFont="1" applyFill="1" applyBorder="1" applyAlignment="1">
      <alignment horizontal="right"/>
    </xf>
    <xf numFmtId="189" fontId="28" fillId="10" borderId="15" xfId="0" applyNumberFormat="1" applyFont="1" applyFill="1" applyBorder="1" applyAlignment="1">
      <alignment horizontal="right"/>
    </xf>
    <xf numFmtId="187" fontId="28" fillId="10" borderId="15" xfId="0" applyNumberFormat="1" applyFont="1" applyFill="1" applyBorder="1" applyAlignment="1">
      <alignment horizontal="center"/>
    </xf>
    <xf numFmtId="0" fontId="29" fillId="10" borderId="15" xfId="0" applyFont="1" applyFill="1" applyBorder="1" applyAlignment="1"/>
    <xf numFmtId="0" fontId="29" fillId="10" borderId="14" xfId="0" applyFont="1" applyFill="1" applyBorder="1" applyAlignment="1"/>
    <xf numFmtId="0" fontId="28" fillId="10" borderId="14" xfId="0" applyFont="1" applyFill="1" applyBorder="1" applyAlignment="1"/>
    <xf numFmtId="190" fontId="29" fillId="10" borderId="13" xfId="0" applyNumberFormat="1" applyFont="1" applyFill="1" applyBorder="1" applyAlignment="1"/>
    <xf numFmtId="188" fontId="29" fillId="20" borderId="15" xfId="0" applyNumberFormat="1" applyFont="1" applyFill="1" applyBorder="1" applyAlignment="1"/>
    <xf numFmtId="188" fontId="29" fillId="20" borderId="14" xfId="0" applyNumberFormat="1" applyFont="1" applyFill="1" applyBorder="1" applyAlignment="1"/>
    <xf numFmtId="189" fontId="29" fillId="20" borderId="14" xfId="0" applyNumberFormat="1" applyFont="1" applyFill="1" applyBorder="1" applyAlignment="1"/>
    <xf numFmtId="0" fontId="29" fillId="20" borderId="14" xfId="0" applyFont="1" applyFill="1" applyBorder="1" applyAlignment="1"/>
    <xf numFmtId="190" fontId="29" fillId="20" borderId="14" xfId="0" applyNumberFormat="1" applyFont="1" applyFill="1" applyBorder="1" applyAlignment="1"/>
    <xf numFmtId="187" fontId="28" fillId="20" borderId="13" xfId="0" applyNumberFormat="1" applyFont="1" applyFill="1" applyBorder="1" applyAlignment="1"/>
    <xf numFmtId="0" fontId="28" fillId="10" borderId="15" xfId="0" applyFont="1" applyFill="1" applyBorder="1" applyAlignment="1">
      <alignment horizontal="center" wrapText="1"/>
    </xf>
    <xf numFmtId="187" fontId="29" fillId="10" borderId="14" xfId="0" applyNumberFormat="1" applyFont="1" applyFill="1" applyBorder="1" applyAlignment="1"/>
    <xf numFmtId="190" fontId="29" fillId="10" borderId="14" xfId="0" applyNumberFormat="1" applyFont="1" applyFill="1" applyBorder="1" applyAlignment="1"/>
    <xf numFmtId="190" fontId="28" fillId="10" borderId="14" xfId="0" applyNumberFormat="1" applyFont="1" applyFill="1" applyBorder="1" applyAlignment="1"/>
    <xf numFmtId="189" fontId="29" fillId="10" borderId="15" xfId="0" applyNumberFormat="1" applyFont="1" applyFill="1" applyBorder="1" applyAlignment="1"/>
    <xf numFmtId="189" fontId="29" fillId="10" borderId="14" xfId="0" applyNumberFormat="1" applyFont="1" applyFill="1" applyBorder="1" applyAlignment="1"/>
    <xf numFmtId="188" fontId="22" fillId="8" borderId="15" xfId="0" applyNumberFormat="1" applyFont="1" applyFill="1" applyBorder="1" applyAlignment="1">
      <alignment horizontal="right"/>
    </xf>
    <xf numFmtId="187" fontId="22" fillId="8" borderId="15" xfId="0" applyNumberFormat="1" applyFont="1" applyFill="1" applyBorder="1" applyAlignment="1">
      <alignment horizontal="center"/>
    </xf>
    <xf numFmtId="0" fontId="22" fillId="8" borderId="14" xfId="0" applyFont="1" applyFill="1" applyBorder="1" applyAlignment="1"/>
    <xf numFmtId="190" fontId="29" fillId="8" borderId="13" xfId="0" applyNumberFormat="1" applyFont="1" applyFill="1" applyBorder="1" applyAlignment="1"/>
    <xf numFmtId="0" fontId="40" fillId="8" borderId="14" xfId="0" applyFont="1" applyFill="1" applyBorder="1" applyAlignment="1"/>
    <xf numFmtId="187" fontId="22" fillId="8" borderId="15" xfId="0" applyNumberFormat="1" applyFont="1" applyFill="1" applyBorder="1" applyAlignment="1">
      <alignment horizontal="center" wrapText="1"/>
    </xf>
    <xf numFmtId="188" fontId="28" fillId="8" borderId="15" xfId="0" applyNumberFormat="1" applyFont="1" applyFill="1" applyBorder="1" applyAlignment="1">
      <alignment horizontal="right"/>
    </xf>
    <xf numFmtId="187" fontId="28" fillId="8" borderId="15" xfId="0" applyNumberFormat="1" applyFont="1" applyFill="1" applyBorder="1" applyAlignment="1">
      <alignment horizontal="center"/>
    </xf>
    <xf numFmtId="0" fontId="30" fillId="8" borderId="14" xfId="0" applyFont="1" applyFill="1" applyBorder="1" applyAlignment="1"/>
    <xf numFmtId="0" fontId="28" fillId="8" borderId="14" xfId="0" applyFont="1" applyFill="1" applyBorder="1" applyAlignment="1"/>
    <xf numFmtId="189" fontId="22" fillId="8" borderId="15" xfId="0" applyNumberFormat="1" applyFont="1" applyFill="1" applyBorder="1" applyAlignment="1">
      <alignment horizontal="right"/>
    </xf>
    <xf numFmtId="190" fontId="29" fillId="8" borderId="14" xfId="0" applyNumberFormat="1" applyFont="1" applyFill="1" applyBorder="1" applyAlignment="1"/>
    <xf numFmtId="188" fontId="29" fillId="8" borderId="14" xfId="0" applyNumberFormat="1" applyFont="1" applyFill="1" applyBorder="1" applyAlignment="1"/>
    <xf numFmtId="189" fontId="29" fillId="8" borderId="14" xfId="0" applyNumberFormat="1" applyFont="1" applyFill="1" applyBorder="1" applyAlignment="1"/>
    <xf numFmtId="187" fontId="28" fillId="8" borderId="13" xfId="0" applyNumberFormat="1" applyFont="1" applyFill="1" applyBorder="1" applyAlignment="1"/>
    <xf numFmtId="189" fontId="29" fillId="20" borderId="15" xfId="0" applyNumberFormat="1" applyFont="1" applyFill="1" applyBorder="1" applyAlignment="1"/>
    <xf numFmtId="0" fontId="29" fillId="20" borderId="15" xfId="0" applyFont="1" applyFill="1" applyBorder="1" applyAlignment="1"/>
    <xf numFmtId="187" fontId="29" fillId="20" borderId="14" xfId="0" applyNumberFormat="1" applyFont="1" applyFill="1" applyBorder="1" applyAlignment="1"/>
    <xf numFmtId="188" fontId="29" fillId="19" borderId="10" xfId="0" applyNumberFormat="1" applyFont="1" applyFill="1" applyBorder="1" applyAlignment="1"/>
    <xf numFmtId="188" fontId="29" fillId="19" borderId="9" xfId="0" applyNumberFormat="1" applyFont="1" applyFill="1" applyBorder="1" applyAlignment="1"/>
    <xf numFmtId="189" fontId="29" fillId="19" borderId="9" xfId="0" applyNumberFormat="1" applyFont="1" applyFill="1" applyBorder="1" applyAlignment="1"/>
    <xf numFmtId="0" fontId="29" fillId="19" borderId="9" xfId="0" applyFont="1" applyFill="1" applyBorder="1" applyAlignment="1"/>
    <xf numFmtId="187" fontId="29" fillId="19" borderId="9" xfId="0" applyNumberFormat="1" applyFont="1" applyFill="1" applyBorder="1" applyAlignment="1"/>
    <xf numFmtId="187" fontId="28" fillId="19" borderId="8" xfId="0" applyNumberFormat="1" applyFont="1" applyFill="1" applyBorder="1" applyAlignment="1"/>
    <xf numFmtId="188" fontId="22" fillId="2" borderId="10" xfId="0" applyNumberFormat="1" applyFont="1" applyFill="1" applyBorder="1" applyAlignment="1">
      <alignment horizontal="right"/>
    </xf>
    <xf numFmtId="0" fontId="22" fillId="2" borderId="10" xfId="0" applyFont="1" applyFill="1" applyBorder="1" applyAlignment="1">
      <alignment horizontal="center"/>
    </xf>
    <xf numFmtId="0" fontId="22" fillId="2" borderId="9" xfId="0" applyFont="1" applyFill="1" applyBorder="1" applyAlignment="1"/>
    <xf numFmtId="0" fontId="29" fillId="2" borderId="8" xfId="0" applyFont="1" applyFill="1" applyBorder="1" applyAlignment="1"/>
    <xf numFmtId="0" fontId="29" fillId="2" borderId="13" xfId="0" applyFont="1" applyFill="1" applyBorder="1" applyAlignment="1"/>
    <xf numFmtId="188" fontId="22" fillId="18" borderId="15" xfId="0" applyNumberFormat="1" applyFont="1" applyFill="1" applyBorder="1" applyAlignment="1">
      <alignment horizontal="right"/>
    </xf>
    <xf numFmtId="188" fontId="29" fillId="18" borderId="15" xfId="0" applyNumberFormat="1" applyFont="1" applyFill="1" applyBorder="1" applyAlignment="1"/>
    <xf numFmtId="189" fontId="29" fillId="18" borderId="15" xfId="0" applyNumberFormat="1" applyFont="1" applyFill="1" applyBorder="1" applyAlignment="1"/>
    <xf numFmtId="0" fontId="22" fillId="18" borderId="15" xfId="0" applyFont="1" applyFill="1" applyBorder="1" applyAlignment="1">
      <alignment horizontal="center"/>
    </xf>
    <xf numFmtId="0" fontId="29" fillId="18" borderId="15" xfId="0" applyFont="1" applyFill="1" applyBorder="1" applyAlignment="1"/>
    <xf numFmtId="0" fontId="29" fillId="18" borderId="14" xfId="0" applyFont="1" applyFill="1" applyBorder="1" applyAlignment="1"/>
    <xf numFmtId="0" fontId="22" fillId="18" borderId="14" xfId="0" applyFont="1" applyFill="1" applyBorder="1" applyAlignment="1"/>
    <xf numFmtId="0" fontId="29" fillId="18" borderId="13" xfId="0" applyFont="1" applyFill="1" applyBorder="1" applyAlignment="1"/>
    <xf numFmtId="188" fontId="16" fillId="18" borderId="15" xfId="0" applyNumberFormat="1" applyFont="1" applyFill="1" applyBorder="1" applyAlignment="1">
      <alignment horizontal="right"/>
    </xf>
    <xf numFmtId="0" fontId="16" fillId="18" borderId="15" xfId="0" applyFont="1" applyFill="1" applyBorder="1" applyAlignment="1">
      <alignment horizontal="center"/>
    </xf>
    <xf numFmtId="0" fontId="16" fillId="18" borderId="14" xfId="0" applyFont="1" applyFill="1" applyBorder="1" applyAlignment="1"/>
    <xf numFmtId="188" fontId="28" fillId="18" borderId="15" xfId="0" applyNumberFormat="1" applyFont="1" applyFill="1" applyBorder="1" applyAlignment="1">
      <alignment horizontal="right"/>
    </xf>
    <xf numFmtId="0" fontId="28" fillId="18" borderId="15" xfId="0" applyFont="1" applyFill="1" applyBorder="1" applyAlignment="1">
      <alignment horizontal="center"/>
    </xf>
    <xf numFmtId="0" fontId="30" fillId="18" borderId="14" xfId="0" applyFont="1" applyFill="1" applyBorder="1" applyAlignment="1"/>
    <xf numFmtId="0" fontId="28" fillId="18" borderId="14" xfId="0" applyFont="1" applyFill="1" applyBorder="1" applyAlignment="1"/>
    <xf numFmtId="188" fontId="29" fillId="17" borderId="15" xfId="0" applyNumberFormat="1" applyFont="1" applyFill="1" applyBorder="1" applyAlignment="1"/>
    <xf numFmtId="189" fontId="29" fillId="17" borderId="15" xfId="0" applyNumberFormat="1" applyFont="1" applyFill="1" applyBorder="1" applyAlignment="1"/>
    <xf numFmtId="0" fontId="29" fillId="17" borderId="15" xfId="0" applyFont="1" applyFill="1" applyBorder="1" applyAlignment="1"/>
    <xf numFmtId="0" fontId="29" fillId="17" borderId="14" xfId="0" applyFont="1" applyFill="1" applyBorder="1" applyAlignment="1"/>
    <xf numFmtId="0" fontId="28" fillId="17" borderId="14" xfId="0" applyFont="1" applyFill="1" applyBorder="1" applyAlignment="1"/>
    <xf numFmtId="0" fontId="29" fillId="17" borderId="13" xfId="0" applyFont="1" applyFill="1" applyBorder="1" applyAlignment="1"/>
    <xf numFmtId="188" fontId="29" fillId="16" borderId="15" xfId="0" applyNumberFormat="1" applyFont="1" applyFill="1" applyBorder="1" applyAlignment="1"/>
    <xf numFmtId="189" fontId="29" fillId="16" borderId="15" xfId="0" applyNumberFormat="1" applyFont="1" applyFill="1" applyBorder="1" applyAlignment="1"/>
    <xf numFmtId="0" fontId="29" fillId="16" borderId="15" xfId="0" applyFont="1" applyFill="1" applyBorder="1" applyAlignment="1"/>
    <xf numFmtId="0" fontId="28" fillId="16" borderId="14" xfId="0" applyFont="1" applyFill="1" applyBorder="1" applyAlignment="1"/>
    <xf numFmtId="0" fontId="29" fillId="16" borderId="13" xfId="0" applyFont="1" applyFill="1" applyBorder="1" applyAlignment="1"/>
    <xf numFmtId="188" fontId="29" fillId="15" borderId="10" xfId="0" applyNumberFormat="1" applyFont="1" applyFill="1" applyBorder="1" applyAlignment="1"/>
    <xf numFmtId="188" fontId="29" fillId="15" borderId="9" xfId="0" applyNumberFormat="1" applyFont="1" applyFill="1" applyBorder="1" applyAlignment="1"/>
    <xf numFmtId="189" fontId="29" fillId="15" borderId="9" xfId="0" applyNumberFormat="1" applyFont="1" applyFill="1" applyBorder="1" applyAlignment="1"/>
    <xf numFmtId="0" fontId="29" fillId="15" borderId="9" xfId="0" applyFont="1" applyFill="1" applyBorder="1" applyAlignment="1"/>
    <xf numFmtId="0" fontId="28" fillId="15" borderId="8" xfId="0" applyFont="1" applyFill="1" applyBorder="1" applyAlignment="1"/>
    <xf numFmtId="188" fontId="22" fillId="14" borderId="15" xfId="0" applyNumberFormat="1" applyFont="1" applyFill="1" applyBorder="1" applyAlignment="1">
      <alignment horizontal="right"/>
    </xf>
    <xf numFmtId="188" fontId="29" fillId="14" borderId="15" xfId="0" applyNumberFormat="1" applyFont="1" applyFill="1" applyBorder="1" applyAlignment="1"/>
    <xf numFmtId="189" fontId="29" fillId="14" borderId="15" xfId="0" applyNumberFormat="1" applyFont="1" applyFill="1" applyBorder="1" applyAlignment="1"/>
    <xf numFmtId="0" fontId="22" fillId="14" borderId="15" xfId="0" applyFont="1" applyFill="1" applyBorder="1" applyAlignment="1">
      <alignment horizontal="center"/>
    </xf>
    <xf numFmtId="0" fontId="29" fillId="14" borderId="15" xfId="0" applyFont="1" applyFill="1" applyBorder="1" applyAlignment="1"/>
    <xf numFmtId="0" fontId="29" fillId="14" borderId="14" xfId="0" applyFont="1" applyFill="1" applyBorder="1" applyAlignment="1"/>
    <xf numFmtId="0" fontId="22" fillId="14" borderId="14" xfId="0" applyFont="1" applyFill="1" applyBorder="1" applyAlignment="1"/>
    <xf numFmtId="0" fontId="29" fillId="14" borderId="13" xfId="0" applyFont="1" applyFill="1" applyBorder="1" applyAlignment="1"/>
    <xf numFmtId="188" fontId="16" fillId="14" borderId="15" xfId="0" applyNumberFormat="1" applyFont="1" applyFill="1" applyBorder="1" applyAlignment="1">
      <alignment horizontal="right"/>
    </xf>
    <xf numFmtId="0" fontId="16" fillId="14" borderId="15" xfId="0" applyFont="1" applyFill="1" applyBorder="1" applyAlignment="1">
      <alignment horizontal="center"/>
    </xf>
    <xf numFmtId="0" fontId="16" fillId="14" borderId="14" xfId="0" applyFont="1" applyFill="1" applyBorder="1" applyAlignment="1"/>
    <xf numFmtId="188" fontId="28" fillId="14" borderId="15" xfId="0" applyNumberFormat="1" applyFont="1" applyFill="1" applyBorder="1" applyAlignment="1">
      <alignment horizontal="right"/>
    </xf>
    <xf numFmtId="0" fontId="28" fillId="14" borderId="15" xfId="0" applyFont="1" applyFill="1" applyBorder="1" applyAlignment="1">
      <alignment horizontal="center"/>
    </xf>
    <xf numFmtId="0" fontId="30" fillId="14" borderId="14" xfId="0" applyFont="1" applyFill="1" applyBorder="1" applyAlignment="1"/>
    <xf numFmtId="0" fontId="28" fillId="14" borderId="14" xfId="0" applyFont="1" applyFill="1" applyBorder="1" applyAlignment="1"/>
    <xf numFmtId="0" fontId="29" fillId="8" borderId="13" xfId="0" applyFont="1" applyFill="1" applyBorder="1" applyAlignment="1"/>
    <xf numFmtId="188" fontId="29" fillId="13" borderId="15" xfId="0" applyNumberFormat="1" applyFont="1" applyFill="1" applyBorder="1" applyAlignment="1"/>
    <xf numFmtId="189" fontId="29" fillId="13" borderId="15" xfId="0" applyNumberFormat="1" applyFont="1" applyFill="1" applyBorder="1" applyAlignment="1"/>
    <xf numFmtId="0" fontId="29" fillId="13" borderId="15" xfId="0" applyFont="1" applyFill="1" applyBorder="1" applyAlignment="1"/>
    <xf numFmtId="0" fontId="29" fillId="13" borderId="14" xfId="0" applyFont="1" applyFill="1" applyBorder="1" applyAlignment="1"/>
    <xf numFmtId="0" fontId="28" fillId="13" borderId="14" xfId="0" applyFont="1" applyFill="1" applyBorder="1" applyAlignment="1"/>
    <xf numFmtId="188" fontId="29" fillId="12" borderId="10" xfId="0" applyNumberFormat="1" applyFont="1" applyFill="1" applyBorder="1" applyAlignment="1"/>
    <xf numFmtId="188" fontId="29" fillId="12" borderId="9" xfId="0" applyNumberFormat="1" applyFont="1" applyFill="1" applyBorder="1" applyAlignment="1"/>
    <xf numFmtId="189" fontId="29" fillId="12" borderId="9" xfId="0" applyNumberFormat="1" applyFont="1" applyFill="1" applyBorder="1" applyAlignment="1"/>
    <xf numFmtId="0" fontId="29" fillId="12" borderId="9" xfId="0" applyFont="1" applyFill="1" applyBorder="1" applyAlignment="1"/>
    <xf numFmtId="0" fontId="28" fillId="12" borderId="8" xfId="0" applyFont="1" applyFill="1" applyBorder="1" applyAlignment="1"/>
    <xf numFmtId="188" fontId="28" fillId="11" borderId="10" xfId="0" applyNumberFormat="1" applyFont="1" applyFill="1" applyBorder="1" applyAlignment="1">
      <alignment horizontal="right"/>
    </xf>
    <xf numFmtId="188" fontId="29" fillId="11" borderId="10" xfId="0" applyNumberFormat="1" applyFont="1" applyFill="1" applyBorder="1" applyAlignment="1"/>
    <xf numFmtId="189" fontId="29" fillId="11" borderId="10" xfId="0" applyNumberFormat="1" applyFont="1" applyFill="1" applyBorder="1" applyAlignment="1"/>
    <xf numFmtId="0" fontId="29" fillId="11" borderId="10" xfId="0" applyFont="1" applyFill="1" applyBorder="1" applyAlignment="1"/>
    <xf numFmtId="0" fontId="29" fillId="11" borderId="9" xfId="0" applyFont="1" applyFill="1" applyBorder="1" applyAlignment="1"/>
    <xf numFmtId="0" fontId="28" fillId="11" borderId="8" xfId="0" applyFont="1" applyFill="1" applyBorder="1" applyAlignment="1"/>
    <xf numFmtId="0" fontId="29" fillId="8" borderId="8" xfId="0" applyFont="1" applyFill="1" applyBorder="1" applyAlignment="1"/>
    <xf numFmtId="0" fontId="41" fillId="0" borderId="9" xfId="0" applyFont="1" applyBorder="1"/>
    <xf numFmtId="188" fontId="22" fillId="10" borderId="15" xfId="0" applyNumberFormat="1" applyFont="1" applyFill="1" applyBorder="1" applyAlignment="1">
      <alignment horizontal="right"/>
    </xf>
    <xf numFmtId="0" fontId="22" fillId="10" borderId="15" xfId="0" applyFont="1" applyFill="1" applyBorder="1" applyAlignment="1">
      <alignment horizontal="center"/>
    </xf>
    <xf numFmtId="0" fontId="22" fillId="10" borderId="14" xfId="0" applyFont="1" applyFill="1" applyBorder="1" applyAlignment="1"/>
    <xf numFmtId="0" fontId="29" fillId="10" borderId="13" xfId="0" applyFont="1" applyFill="1" applyBorder="1" applyAlignment="1"/>
    <xf numFmtId="188" fontId="16" fillId="10" borderId="15" xfId="0" applyNumberFormat="1" applyFont="1" applyFill="1" applyBorder="1" applyAlignment="1">
      <alignment horizontal="right"/>
    </xf>
    <xf numFmtId="0" fontId="16" fillId="10" borderId="15" xfId="0" applyFont="1" applyFill="1" applyBorder="1" applyAlignment="1">
      <alignment horizontal="center"/>
    </xf>
    <xf numFmtId="0" fontId="16" fillId="10" borderId="14" xfId="0" applyFont="1" applyFill="1" applyBorder="1" applyAlignment="1"/>
    <xf numFmtId="0" fontId="28" fillId="10" borderId="15" xfId="0" applyFont="1" applyFill="1" applyBorder="1" applyAlignment="1">
      <alignment horizontal="center"/>
    </xf>
    <xf numFmtId="0" fontId="30" fillId="10" borderId="14" xfId="0" applyFont="1" applyFill="1" applyBorder="1" applyAlignment="1"/>
    <xf numFmtId="188" fontId="29" fillId="9" borderId="10" xfId="0" applyNumberFormat="1" applyFont="1" applyFill="1" applyBorder="1" applyAlignment="1"/>
    <xf numFmtId="189" fontId="29" fillId="9" borderId="10" xfId="0" applyNumberFormat="1" applyFont="1" applyFill="1" applyBorder="1" applyAlignment="1"/>
    <xf numFmtId="0" fontId="29" fillId="9" borderId="10" xfId="0" applyFont="1" applyFill="1" applyBorder="1" applyAlignment="1"/>
    <xf numFmtId="0" fontId="28" fillId="9" borderId="8" xfId="0" applyFont="1" applyFill="1" applyBorder="1" applyAlignment="1"/>
    <xf numFmtId="188" fontId="28" fillId="7" borderId="10" xfId="0" applyNumberFormat="1" applyFont="1" applyFill="1" applyBorder="1" applyAlignment="1">
      <alignment horizontal="center"/>
    </xf>
    <xf numFmtId="188" fontId="28" fillId="5" borderId="10" xfId="0" applyNumberFormat="1" applyFont="1" applyFill="1" applyBorder="1" applyAlignment="1">
      <alignment horizontal="center"/>
    </xf>
    <xf numFmtId="188" fontId="28" fillId="6" borderId="10" xfId="0" applyNumberFormat="1" applyFont="1" applyFill="1" applyBorder="1" applyAlignment="1">
      <alignment horizontal="center"/>
    </xf>
    <xf numFmtId="188" fontId="28" fillId="7" borderId="10" xfId="0" applyNumberFormat="1" applyFont="1" applyFill="1" applyBorder="1" applyAlignment="1">
      <alignment horizontal="center" wrapText="1"/>
    </xf>
    <xf numFmtId="188" fontId="28" fillId="5" borderId="10" xfId="0" applyNumberFormat="1" applyFont="1" applyFill="1" applyBorder="1" applyAlignment="1">
      <alignment horizontal="center" wrapText="1"/>
    </xf>
    <xf numFmtId="188" fontId="28" fillId="4" borderId="10" xfId="0" applyNumberFormat="1" applyFont="1" applyFill="1" applyBorder="1" applyAlignment="1">
      <alignment horizontal="center"/>
    </xf>
    <xf numFmtId="187" fontId="28" fillId="4" borderId="10" xfId="0" applyNumberFormat="1" applyFont="1" applyFill="1" applyBorder="1" applyAlignment="1">
      <alignment horizontal="center" wrapText="1"/>
    </xf>
    <xf numFmtId="0" fontId="28" fillId="3" borderId="10" xfId="0" applyFont="1" applyFill="1" applyBorder="1" applyAlignment="1">
      <alignment horizontal="center"/>
    </xf>
    <xf numFmtId="188" fontId="28" fillId="6" borderId="9" xfId="0" applyNumberFormat="1" applyFont="1" applyFill="1" applyBorder="1" applyAlignment="1">
      <alignment horizontal="center"/>
    </xf>
    <xf numFmtId="188" fontId="28" fillId="5" borderId="9" xfId="0" applyNumberFormat="1" applyFont="1" applyFill="1" applyBorder="1" applyAlignment="1">
      <alignment horizontal="center" wrapText="1"/>
    </xf>
    <xf numFmtId="0" fontId="28" fillId="4" borderId="9" xfId="0" applyFont="1" applyFill="1" applyBorder="1" applyAlignment="1">
      <alignment horizontal="center"/>
    </xf>
    <xf numFmtId="0" fontId="28" fillId="3" borderId="20" xfId="0" applyFont="1" applyFill="1" applyBorder="1" applyAlignment="1">
      <alignment horizontal="center"/>
    </xf>
    <xf numFmtId="0" fontId="3" fillId="0" borderId="20" xfId="0" applyFont="1" applyBorder="1"/>
    <xf numFmtId="0" fontId="28" fillId="3" borderId="19" xfId="0" applyFont="1" applyFill="1" applyBorder="1" applyAlignment="1">
      <alignment horizontal="center"/>
    </xf>
    <xf numFmtId="188" fontId="29" fillId="2" borderId="9" xfId="0" applyNumberFormat="1" applyFont="1" applyFill="1" applyBorder="1" applyAlignment="1"/>
    <xf numFmtId="0" fontId="28" fillId="3" borderId="20" xfId="0" applyFont="1" applyFill="1" applyBorder="1" applyAlignment="1">
      <alignment horizontal="center"/>
    </xf>
    <xf numFmtId="189" fontId="5" fillId="34" borderId="15" xfId="0" applyNumberFormat="1" applyFont="1" applyFill="1" applyBorder="1" applyAlignment="1">
      <alignment horizontal="right"/>
    </xf>
    <xf numFmtId="0" fontId="4" fillId="21" borderId="14" xfId="0" quotePrefix="1" applyFont="1" applyFill="1" applyBorder="1" applyAlignment="1"/>
    <xf numFmtId="188" fontId="5" fillId="34" borderId="15" xfId="0" applyNumberFormat="1" applyFont="1" applyFill="1" applyBorder="1" applyAlignment="1">
      <alignment horizontal="right"/>
    </xf>
    <xf numFmtId="0" fontId="4" fillId="2" borderId="14" xfId="0" applyFont="1" applyFill="1" applyBorder="1" applyAlignment="1"/>
    <xf numFmtId="188" fontId="15" fillId="2" borderId="15" xfId="0" applyNumberFormat="1" applyFont="1" applyFill="1" applyBorder="1" applyAlignment="1"/>
    <xf numFmtId="0" fontId="15" fillId="0" borderId="15" xfId="0" applyFont="1" applyBorder="1" applyAlignment="1"/>
    <xf numFmtId="0" fontId="15" fillId="0" borderId="14" xfId="0" applyFont="1" applyBorder="1" applyAlignment="1"/>
    <xf numFmtId="187" fontId="15" fillId="0" borderId="14" xfId="0" applyNumberFormat="1" applyFont="1" applyBorder="1" applyAlignment="1"/>
    <xf numFmtId="187" fontId="15" fillId="0" borderId="13" xfId="0" applyNumberFormat="1" applyFont="1" applyBorder="1" applyAlignment="1"/>
    <xf numFmtId="188" fontId="15" fillId="0" borderId="15" xfId="0" applyNumberFormat="1" applyFont="1" applyBorder="1" applyAlignment="1"/>
    <xf numFmtId="189" fontId="15" fillId="0" borderId="15" xfId="0" applyNumberFormat="1" applyFont="1" applyBorder="1" applyAlignment="1"/>
    <xf numFmtId="0" fontId="15" fillId="21" borderId="15" xfId="0" applyFont="1" applyFill="1" applyBorder="1" applyAlignment="1"/>
    <xf numFmtId="0" fontId="15" fillId="21" borderId="14" xfId="0" applyFont="1" applyFill="1" applyBorder="1" applyAlignment="1"/>
    <xf numFmtId="0" fontId="15" fillId="2" borderId="15" xfId="0" applyFont="1" applyFill="1" applyBorder="1" applyAlignment="1"/>
    <xf numFmtId="0" fontId="15" fillId="2" borderId="14" xfId="0" applyFont="1" applyFill="1" applyBorder="1" applyAlignment="1"/>
    <xf numFmtId="187" fontId="15" fillId="2" borderId="14" xfId="0" applyNumberFormat="1" applyFont="1" applyFill="1" applyBorder="1" applyAlignment="1"/>
    <xf numFmtId="187" fontId="15" fillId="2" borderId="13" xfId="0" applyNumberFormat="1" applyFont="1" applyFill="1" applyBorder="1" applyAlignment="1"/>
    <xf numFmtId="190" fontId="15" fillId="2" borderId="13" xfId="0" applyNumberFormat="1" applyFont="1" applyFill="1" applyBorder="1" applyAlignment="1"/>
    <xf numFmtId="188" fontId="15" fillId="23" borderId="15" xfId="0" applyNumberFormat="1" applyFont="1" applyFill="1" applyBorder="1" applyAlignment="1"/>
    <xf numFmtId="0" fontId="15" fillId="23" borderId="15" xfId="0" applyFont="1" applyFill="1" applyBorder="1" applyAlignment="1"/>
    <xf numFmtId="0" fontId="15" fillId="23" borderId="14" xfId="0" applyFont="1" applyFill="1" applyBorder="1" applyAlignment="1"/>
    <xf numFmtId="187" fontId="15" fillId="23" borderId="14" xfId="0" applyNumberFormat="1" applyFont="1" applyFill="1" applyBorder="1" applyAlignment="1"/>
    <xf numFmtId="187" fontId="15" fillId="23" borderId="13" xfId="0" applyNumberFormat="1" applyFont="1" applyFill="1" applyBorder="1" applyAlignment="1"/>
    <xf numFmtId="0" fontId="2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545"/>
  <sheetViews>
    <sheetView view="pageBreakPreview" zoomScale="60" zoomScaleNormal="70"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S21" sqref="S2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4.42578125" bestFit="1" customWidth="1"/>
    <col min="10" max="11" width="12.5703125" bestFit="1" customWidth="1"/>
    <col min="12" max="14" width="23" bestFit="1" customWidth="1"/>
    <col min="15" max="15" width="20.140625" bestFit="1" customWidth="1"/>
    <col min="16" max="16" width="22" bestFit="1" customWidth="1"/>
  </cols>
  <sheetData>
    <row r="1" spans="1:16" ht="19.5" x14ac:dyDescent="0.3">
      <c r="A1" s="499" t="s">
        <v>0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</row>
    <row r="2" spans="1:16" ht="19.5" x14ac:dyDescent="0.3">
      <c r="A2" s="499" t="s">
        <v>1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</row>
    <row r="3" spans="1:16" ht="19.5" x14ac:dyDescent="0.3">
      <c r="A3" s="499" t="str">
        <f ca="1">IFERROR(__xludf.DUMMYFUNCTION("IMPORTRANGE(""https://docs.google.com/spreadsheets/d/1gNPQPjxUj63ZZXIIIm2aX4x3w7PhAZpC9JuXdbpWwUQ/edit?usp=sharing"",""Sheet1!b1"")"),"ข้อมูล ณ 28 ธ.ค. 66")</f>
        <v>ข้อมูล ณ 28 ธ.ค. 66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501" t="s">
        <v>2</v>
      </c>
      <c r="B5" s="502"/>
      <c r="C5" s="502"/>
      <c r="D5" s="502"/>
      <c r="E5" s="502"/>
      <c r="F5" s="502"/>
      <c r="G5" s="503"/>
      <c r="H5" s="4" t="s">
        <v>3</v>
      </c>
      <c r="I5" s="505" t="s">
        <v>4</v>
      </c>
      <c r="J5" s="489"/>
      <c r="K5" s="490"/>
      <c r="L5" s="506" t="s">
        <v>5</v>
      </c>
      <c r="M5" s="490"/>
      <c r="N5" s="507" t="s">
        <v>6</v>
      </c>
      <c r="O5" s="489"/>
      <c r="P5" s="490"/>
    </row>
    <row r="6" spans="1:16" ht="19.5" x14ac:dyDescent="0.3">
      <c r="A6" s="504"/>
      <c r="B6" s="492"/>
      <c r="C6" s="492"/>
      <c r="D6" s="492"/>
      <c r="E6" s="492"/>
      <c r="F6" s="492"/>
      <c r="G6" s="493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9.5" hidden="1" x14ac:dyDescent="0.3">
      <c r="A7" s="488"/>
      <c r="B7" s="489"/>
      <c r="C7" s="489"/>
      <c r="D7" s="489"/>
      <c r="E7" s="489"/>
      <c r="F7" s="489"/>
      <c r="G7" s="490"/>
      <c r="H7" s="13"/>
      <c r="I7" s="14"/>
      <c r="J7" s="14"/>
      <c r="K7" s="15"/>
      <c r="L7" s="15"/>
      <c r="M7" s="15"/>
      <c r="N7" s="15"/>
      <c r="O7" s="15"/>
      <c r="P7" s="15"/>
    </row>
    <row r="8" spans="1:16" ht="19.5" hidden="1" x14ac:dyDescent="0.3">
      <c r="A8" s="16"/>
      <c r="B8" s="17"/>
      <c r="C8" s="18"/>
      <c r="D8" s="19"/>
      <c r="E8" s="17"/>
      <c r="F8" s="17"/>
      <c r="G8" s="20"/>
      <c r="H8" s="21"/>
      <c r="I8" s="22"/>
      <c r="J8" s="22"/>
      <c r="K8" s="23"/>
      <c r="L8" s="24"/>
      <c r="M8" s="24"/>
      <c r="N8" s="24"/>
      <c r="O8" s="24"/>
      <c r="P8" s="24"/>
    </row>
    <row r="9" spans="1:16" ht="18.75" hidden="1" x14ac:dyDescent="0.25">
      <c r="A9" s="16"/>
      <c r="B9" s="17"/>
      <c r="C9" s="17"/>
      <c r="D9" s="17"/>
      <c r="E9" s="25"/>
      <c r="F9" s="17"/>
      <c r="G9" s="20"/>
      <c r="H9" s="26"/>
      <c r="I9" s="22"/>
      <c r="J9" s="22"/>
      <c r="K9" s="23"/>
      <c r="L9" s="27"/>
      <c r="M9" s="27"/>
      <c r="N9" s="27"/>
      <c r="O9" s="27"/>
      <c r="P9" s="27"/>
    </row>
    <row r="10" spans="1:16" ht="18.75" hidden="1" x14ac:dyDescent="0.25">
      <c r="A10" s="16"/>
      <c r="B10" s="17"/>
      <c r="C10" s="17"/>
      <c r="D10" s="17"/>
      <c r="E10" s="25"/>
      <c r="F10" s="17"/>
      <c r="G10" s="20"/>
      <c r="H10" s="26"/>
      <c r="I10" s="22"/>
      <c r="J10" s="22"/>
      <c r="K10" s="23"/>
      <c r="L10" s="27"/>
      <c r="M10" s="27"/>
      <c r="N10" s="27"/>
      <c r="O10" s="27"/>
      <c r="P10" s="27"/>
    </row>
    <row r="11" spans="1:16" ht="18.75" hidden="1" x14ac:dyDescent="0.25">
      <c r="A11" s="16"/>
      <c r="B11" s="17"/>
      <c r="C11" s="17"/>
      <c r="D11" s="28"/>
      <c r="E11" s="17"/>
      <c r="F11" s="17"/>
      <c r="G11" s="20"/>
      <c r="H11" s="26"/>
      <c r="I11" s="22"/>
      <c r="J11" s="22"/>
      <c r="K11" s="23"/>
      <c r="L11" s="27"/>
      <c r="M11" s="27"/>
      <c r="N11" s="27"/>
      <c r="O11" s="27"/>
      <c r="P11" s="27"/>
    </row>
    <row r="12" spans="1:16" ht="18.75" hidden="1" x14ac:dyDescent="0.25">
      <c r="A12" s="16"/>
      <c r="B12" s="17"/>
      <c r="C12" s="17"/>
      <c r="D12" s="17"/>
      <c r="E12" s="25"/>
      <c r="F12" s="17"/>
      <c r="G12" s="20"/>
      <c r="H12" s="26"/>
      <c r="I12" s="22"/>
      <c r="J12" s="22"/>
      <c r="K12" s="23"/>
      <c r="L12" s="27"/>
      <c r="M12" s="27"/>
      <c r="N12" s="27"/>
      <c r="O12" s="27"/>
      <c r="P12" s="27"/>
    </row>
    <row r="13" spans="1:16" ht="18.75" hidden="1" x14ac:dyDescent="0.25">
      <c r="A13" s="16"/>
      <c r="B13" s="17"/>
      <c r="C13" s="17"/>
      <c r="D13" s="17"/>
      <c r="E13" s="25"/>
      <c r="F13" s="17"/>
      <c r="G13" s="20"/>
      <c r="H13" s="26"/>
      <c r="I13" s="22"/>
      <c r="J13" s="22"/>
      <c r="K13" s="23"/>
      <c r="L13" s="27"/>
      <c r="M13" s="27"/>
      <c r="N13" s="27"/>
      <c r="O13" s="27"/>
      <c r="P13" s="27"/>
    </row>
    <row r="14" spans="1:16" ht="18.75" hidden="1" x14ac:dyDescent="0.25">
      <c r="A14" s="16"/>
      <c r="B14" s="17"/>
      <c r="C14" s="17"/>
      <c r="D14" s="28"/>
      <c r="E14" s="17"/>
      <c r="F14" s="17"/>
      <c r="G14" s="20"/>
      <c r="H14" s="26"/>
      <c r="I14" s="22"/>
      <c r="J14" s="22"/>
      <c r="K14" s="23"/>
      <c r="L14" s="27"/>
      <c r="M14" s="27"/>
      <c r="N14" s="27"/>
      <c r="O14" s="27"/>
      <c r="P14" s="27"/>
    </row>
    <row r="15" spans="1:16" ht="18.75" hidden="1" x14ac:dyDescent="0.25">
      <c r="A15" s="16"/>
      <c r="B15" s="17"/>
      <c r="C15" s="17"/>
      <c r="D15" s="17"/>
      <c r="E15" s="25"/>
      <c r="F15" s="17"/>
      <c r="G15" s="20"/>
      <c r="H15" s="26"/>
      <c r="I15" s="22"/>
      <c r="J15" s="22"/>
      <c r="K15" s="23"/>
      <c r="L15" s="27"/>
      <c r="M15" s="27"/>
      <c r="N15" s="27"/>
      <c r="O15" s="27"/>
      <c r="P15" s="27"/>
    </row>
    <row r="16" spans="1:16" ht="18.75" hidden="1" x14ac:dyDescent="0.25">
      <c r="A16" s="29"/>
      <c r="B16" s="30"/>
      <c r="C16" s="30"/>
      <c r="D16" s="30"/>
      <c r="E16" s="31"/>
      <c r="F16" s="30"/>
      <c r="G16" s="32"/>
      <c r="H16" s="33"/>
      <c r="I16" s="34"/>
      <c r="J16" s="34"/>
      <c r="K16" s="35"/>
      <c r="L16" s="36"/>
      <c r="M16" s="36"/>
      <c r="N16" s="36"/>
      <c r="O16" s="36"/>
      <c r="P16" s="36"/>
    </row>
    <row r="17" spans="1:16" ht="19.5" x14ac:dyDescent="0.3">
      <c r="A17" s="491" t="s">
        <v>15</v>
      </c>
      <c r="B17" s="492"/>
      <c r="C17" s="492"/>
      <c r="D17" s="492"/>
      <c r="E17" s="492"/>
      <c r="F17" s="492"/>
      <c r="G17" s="493"/>
      <c r="H17" s="37"/>
      <c r="I17" s="38"/>
      <c r="J17" s="38"/>
      <c r="K17" s="39"/>
      <c r="L17" s="39"/>
      <c r="M17" s="39"/>
      <c r="N17" s="39"/>
      <c r="O17" s="39"/>
      <c r="P17" s="39"/>
    </row>
    <row r="18" spans="1:16" ht="19.5" x14ac:dyDescent="0.3">
      <c r="A18" s="40"/>
      <c r="B18" s="41"/>
      <c r="C18" s="42" t="s">
        <v>16</v>
      </c>
      <c r="D18" s="43" t="s">
        <v>17</v>
      </c>
      <c r="E18" s="41"/>
      <c r="F18" s="41"/>
      <c r="G18" s="44"/>
      <c r="H18" s="45" t="s">
        <v>12</v>
      </c>
      <c r="I18" s="46"/>
      <c r="J18" s="46"/>
      <c r="K18" s="47"/>
      <c r="L18" s="48">
        <f t="shared" ref="L18:N18" ca="1" si="0">L19+L20</f>
        <v>48505523</v>
      </c>
      <c r="M18" s="48">
        <f t="shared" ca="1" si="0"/>
        <v>41290728</v>
      </c>
      <c r="N18" s="48">
        <f t="shared" ca="1" si="0"/>
        <v>16083905.30999998</v>
      </c>
      <c r="O18" s="48">
        <f t="shared" ref="O18:O29" ca="1" si="1">IF(L18&gt;0,N18*100/L18,0)</f>
        <v>33.158915346609049</v>
      </c>
      <c r="P18" s="48">
        <f t="shared" ref="P18:P29" ca="1" si="2">IF(M18&gt;0,N18*100/M18,0)</f>
        <v>38.952825704598816</v>
      </c>
    </row>
    <row r="19" spans="1:16" ht="18.75" x14ac:dyDescent="0.25">
      <c r="A19" s="40"/>
      <c r="B19" s="41"/>
      <c r="C19" s="41"/>
      <c r="D19" s="41"/>
      <c r="E19" s="49" t="s">
        <v>18</v>
      </c>
      <c r="F19" s="41"/>
      <c r="G19" s="44"/>
      <c r="H19" s="50" t="s">
        <v>12</v>
      </c>
      <c r="I19" s="46"/>
      <c r="J19" s="46"/>
      <c r="K19" s="47"/>
      <c r="L19" s="51">
        <f t="shared" ref="L19:N19" ca="1" si="3">L22+L25+L28</f>
        <v>0</v>
      </c>
      <c r="M19" s="51">
        <f t="shared" ca="1" si="3"/>
        <v>0</v>
      </c>
      <c r="N19" s="51">
        <f t="shared" ca="1" si="3"/>
        <v>0</v>
      </c>
      <c r="O19" s="51">
        <f t="shared" ca="1" si="1"/>
        <v>0</v>
      </c>
      <c r="P19" s="51">
        <f t="shared" ca="1" si="2"/>
        <v>0</v>
      </c>
    </row>
    <row r="20" spans="1:16" ht="18.75" x14ac:dyDescent="0.25">
      <c r="A20" s="40"/>
      <c r="B20" s="41"/>
      <c r="C20" s="41"/>
      <c r="D20" s="41"/>
      <c r="E20" s="49" t="s">
        <v>19</v>
      </c>
      <c r="F20" s="41"/>
      <c r="G20" s="44"/>
      <c r="H20" s="50" t="s">
        <v>12</v>
      </c>
      <c r="I20" s="46"/>
      <c r="J20" s="46"/>
      <c r="K20" s="47"/>
      <c r="L20" s="51">
        <f t="shared" ref="L20:N20" ca="1" si="4">L23+L26+L29</f>
        <v>48505523</v>
      </c>
      <c r="M20" s="51">
        <f t="shared" ca="1" si="4"/>
        <v>41290728</v>
      </c>
      <c r="N20" s="51">
        <f t="shared" ca="1" si="4"/>
        <v>16083905.30999998</v>
      </c>
      <c r="O20" s="51">
        <f t="shared" ca="1" si="1"/>
        <v>33.158915346609049</v>
      </c>
      <c r="P20" s="51">
        <f t="shared" ca="1" si="2"/>
        <v>38.952825704598816</v>
      </c>
    </row>
    <row r="21" spans="1:16" ht="18.75" x14ac:dyDescent="0.25">
      <c r="A21" s="52"/>
      <c r="B21" s="53"/>
      <c r="C21" s="53"/>
      <c r="D21" s="54" t="s">
        <v>20</v>
      </c>
      <c r="E21" s="53"/>
      <c r="F21" s="53"/>
      <c r="G21" s="55"/>
      <c r="H21" s="56" t="s">
        <v>12</v>
      </c>
      <c r="I21" s="57"/>
      <c r="J21" s="57"/>
      <c r="K21" s="58"/>
      <c r="L21" s="59">
        <f t="shared" ref="L21:N21" ca="1" si="5">L22+L23</f>
        <v>48505523</v>
      </c>
      <c r="M21" s="59">
        <f t="shared" ca="1" si="5"/>
        <v>41290728</v>
      </c>
      <c r="N21" s="59">
        <f t="shared" ca="1" si="5"/>
        <v>16083905.30999998</v>
      </c>
      <c r="O21" s="59">
        <f t="shared" ca="1" si="1"/>
        <v>33.158915346609049</v>
      </c>
      <c r="P21" s="59">
        <f t="shared" ca="1" si="2"/>
        <v>38.952825704598816</v>
      </c>
    </row>
    <row r="22" spans="1:16" ht="18.75" x14ac:dyDescent="0.25">
      <c r="A22" s="52"/>
      <c r="B22" s="53"/>
      <c r="C22" s="53"/>
      <c r="D22" s="53"/>
      <c r="E22" s="60" t="s">
        <v>18</v>
      </c>
      <c r="F22" s="53"/>
      <c r="G22" s="55"/>
      <c r="H22" s="56" t="s">
        <v>12</v>
      </c>
      <c r="I22" s="57"/>
      <c r="J22" s="57"/>
      <c r="K22" s="58"/>
      <c r="L22" s="59">
        <f t="shared" ref="L22:N22" ca="1" si="6">L48+L63+L76+L98+L129+L143+L161+L190+L177+L270+L286+L307+L324+L337+L360+L381</f>
        <v>0</v>
      </c>
      <c r="M22" s="59">
        <f t="shared" ca="1" si="6"/>
        <v>0</v>
      </c>
      <c r="N22" s="59">
        <f t="shared" ca="1" si="6"/>
        <v>0</v>
      </c>
      <c r="O22" s="59">
        <f t="shared" ca="1" si="1"/>
        <v>0</v>
      </c>
      <c r="P22" s="59">
        <f t="shared" ca="1" si="2"/>
        <v>0</v>
      </c>
    </row>
    <row r="23" spans="1:16" ht="18.75" x14ac:dyDescent="0.25">
      <c r="A23" s="52"/>
      <c r="B23" s="53"/>
      <c r="C23" s="53"/>
      <c r="D23" s="53"/>
      <c r="E23" s="60" t="s">
        <v>19</v>
      </c>
      <c r="F23" s="53"/>
      <c r="G23" s="55"/>
      <c r="H23" s="56" t="s">
        <v>12</v>
      </c>
      <c r="I23" s="57"/>
      <c r="J23" s="57"/>
      <c r="K23" s="58"/>
      <c r="L23" s="59">
        <f t="shared" ref="L23:N23" ca="1" si="7">L49+L64+L77+L99+L130+L144+L162+L191+L178+L271+L287+L308+L325+L338+L361+L382</f>
        <v>48505523</v>
      </c>
      <c r="M23" s="59">
        <f t="shared" ca="1" si="7"/>
        <v>41290728</v>
      </c>
      <c r="N23" s="59">
        <f t="shared" ca="1" si="7"/>
        <v>16083905.30999998</v>
      </c>
      <c r="O23" s="59">
        <f t="shared" ca="1" si="1"/>
        <v>33.158915346609049</v>
      </c>
      <c r="P23" s="59">
        <f t="shared" ca="1" si="2"/>
        <v>38.952825704598816</v>
      </c>
    </row>
    <row r="24" spans="1:16" ht="18.75" x14ac:dyDescent="0.25">
      <c r="A24" s="52"/>
      <c r="B24" s="53"/>
      <c r="C24" s="53"/>
      <c r="D24" s="54" t="s">
        <v>21</v>
      </c>
      <c r="E24" s="53"/>
      <c r="F24" s="53"/>
      <c r="G24" s="55"/>
      <c r="H24" s="56" t="s">
        <v>12</v>
      </c>
      <c r="I24" s="57"/>
      <c r="J24" s="57"/>
      <c r="K24" s="58"/>
      <c r="L24" s="61">
        <f t="shared" ref="L24:N24" ca="1" si="8">L25+L26</f>
        <v>0</v>
      </c>
      <c r="M24" s="59">
        <f t="shared" ca="1" si="8"/>
        <v>0</v>
      </c>
      <c r="N24" s="59">
        <f t="shared" ca="1" si="8"/>
        <v>0</v>
      </c>
      <c r="O24" s="59">
        <f t="shared" ca="1" si="1"/>
        <v>0</v>
      </c>
      <c r="P24" s="59">
        <f t="shared" ca="1" si="2"/>
        <v>0</v>
      </c>
    </row>
    <row r="25" spans="1:16" ht="18.75" x14ac:dyDescent="0.25">
      <c r="A25" s="52"/>
      <c r="B25" s="53"/>
      <c r="C25" s="53"/>
      <c r="D25" s="53"/>
      <c r="E25" s="60" t="s">
        <v>18</v>
      </c>
      <c r="F25" s="53"/>
      <c r="G25" s="55"/>
      <c r="H25" s="56" t="s">
        <v>12</v>
      </c>
      <c r="I25" s="57"/>
      <c r="J25" s="57"/>
      <c r="K25" s="58"/>
      <c r="L25" s="59">
        <f t="shared" ref="L25:N25" ca="1" si="9">L51+L66+L79+L101+L132+L146+L164+L193+L180+L273+L289+L310+L327+L340+L363+L384</f>
        <v>0</v>
      </c>
      <c r="M25" s="59">
        <f t="shared" ca="1" si="9"/>
        <v>0</v>
      </c>
      <c r="N25" s="59">
        <f t="shared" ca="1" si="9"/>
        <v>0</v>
      </c>
      <c r="O25" s="59">
        <f t="shared" ca="1" si="1"/>
        <v>0</v>
      </c>
      <c r="P25" s="59">
        <f t="shared" ca="1" si="2"/>
        <v>0</v>
      </c>
    </row>
    <row r="26" spans="1:16" ht="18.75" x14ac:dyDescent="0.25">
      <c r="A26" s="52"/>
      <c r="B26" s="53"/>
      <c r="C26" s="53"/>
      <c r="D26" s="53"/>
      <c r="E26" s="60" t="s">
        <v>19</v>
      </c>
      <c r="F26" s="53"/>
      <c r="G26" s="55"/>
      <c r="H26" s="56" t="s">
        <v>12</v>
      </c>
      <c r="I26" s="57"/>
      <c r="J26" s="57"/>
      <c r="K26" s="58"/>
      <c r="L26" s="59">
        <f t="shared" ref="L26:N26" ca="1" si="10">L52+L67+L80+L102+L133+L147+L165+L194+L181+L274+L290+L311+L328+L341+L364+L385</f>
        <v>0</v>
      </c>
      <c r="M26" s="59">
        <f t="shared" ca="1" si="10"/>
        <v>0</v>
      </c>
      <c r="N26" s="59">
        <f t="shared" ca="1" si="10"/>
        <v>0</v>
      </c>
      <c r="O26" s="59">
        <f t="shared" ca="1" si="1"/>
        <v>0</v>
      </c>
      <c r="P26" s="59">
        <f t="shared" ca="1" si="2"/>
        <v>0</v>
      </c>
    </row>
    <row r="27" spans="1:16" ht="18.75" x14ac:dyDescent="0.25">
      <c r="A27" s="62"/>
      <c r="B27" s="63"/>
      <c r="C27" s="63"/>
      <c r="D27" s="64" t="s">
        <v>22</v>
      </c>
      <c r="E27" s="63"/>
      <c r="F27" s="63"/>
      <c r="G27" s="65"/>
      <c r="H27" s="66" t="s">
        <v>12</v>
      </c>
      <c r="I27" s="67"/>
      <c r="J27" s="67"/>
      <c r="K27" s="68"/>
      <c r="L27" s="69">
        <f t="shared" ref="L27:N27" ca="1" si="11">L28+L29</f>
        <v>0</v>
      </c>
      <c r="M27" s="69">
        <f t="shared" ca="1" si="11"/>
        <v>0</v>
      </c>
      <c r="N27" s="69">
        <f t="shared" ca="1" si="11"/>
        <v>0</v>
      </c>
      <c r="O27" s="69">
        <f t="shared" ca="1" si="1"/>
        <v>0</v>
      </c>
      <c r="P27" s="69">
        <f t="shared" ca="1" si="2"/>
        <v>0</v>
      </c>
    </row>
    <row r="28" spans="1:16" ht="18.75" x14ac:dyDescent="0.25">
      <c r="A28" s="52"/>
      <c r="B28" s="53"/>
      <c r="C28" s="53"/>
      <c r="D28" s="53"/>
      <c r="E28" s="60" t="s">
        <v>18</v>
      </c>
      <c r="F28" s="53"/>
      <c r="G28" s="55"/>
      <c r="H28" s="56" t="s">
        <v>12</v>
      </c>
      <c r="I28" s="57"/>
      <c r="J28" s="57"/>
      <c r="K28" s="58"/>
      <c r="L28" s="59">
        <f t="shared" ref="L28:N28" ca="1" si="12">L54</f>
        <v>0</v>
      </c>
      <c r="M28" s="59">
        <f t="shared" ca="1" si="12"/>
        <v>0</v>
      </c>
      <c r="N28" s="59">
        <f t="shared" ca="1" si="12"/>
        <v>0</v>
      </c>
      <c r="O28" s="59">
        <f t="shared" ca="1" si="1"/>
        <v>0</v>
      </c>
      <c r="P28" s="59">
        <f t="shared" ca="1" si="2"/>
        <v>0</v>
      </c>
    </row>
    <row r="29" spans="1:16" ht="18.75" x14ac:dyDescent="0.25">
      <c r="A29" s="70"/>
      <c r="B29" s="71"/>
      <c r="C29" s="71"/>
      <c r="D29" s="71"/>
      <c r="E29" s="72" t="s">
        <v>19</v>
      </c>
      <c r="F29" s="71"/>
      <c r="G29" s="73"/>
      <c r="H29" s="74" t="s">
        <v>12</v>
      </c>
      <c r="I29" s="75"/>
      <c r="J29" s="75"/>
      <c r="K29" s="76"/>
      <c r="L29" s="77">
        <f t="shared" ref="L29:N29" ca="1" si="13">L55</f>
        <v>0</v>
      </c>
      <c r="M29" s="77">
        <f t="shared" ca="1" si="13"/>
        <v>0</v>
      </c>
      <c r="N29" s="77">
        <f t="shared" ca="1" si="13"/>
        <v>0</v>
      </c>
      <c r="O29" s="77">
        <f t="shared" ca="1" si="1"/>
        <v>0</v>
      </c>
      <c r="P29" s="77">
        <f t="shared" ca="1" si="2"/>
        <v>0</v>
      </c>
    </row>
    <row r="30" spans="1:16" ht="19.5" hidden="1" x14ac:dyDescent="0.3">
      <c r="A30" s="494"/>
      <c r="B30" s="492"/>
      <c r="C30" s="492"/>
      <c r="D30" s="492"/>
      <c r="E30" s="492"/>
      <c r="F30" s="492"/>
      <c r="G30" s="493"/>
      <c r="H30" s="32"/>
      <c r="I30" s="34"/>
      <c r="J30" s="34"/>
      <c r="K30" s="35"/>
      <c r="L30" s="35"/>
      <c r="M30" s="35"/>
      <c r="N30" s="35"/>
      <c r="O30" s="35"/>
      <c r="P30" s="35"/>
    </row>
    <row r="31" spans="1:16" ht="19.5" hidden="1" x14ac:dyDescent="0.3">
      <c r="A31" s="16"/>
      <c r="B31" s="17"/>
      <c r="C31" s="18"/>
      <c r="D31" s="19"/>
      <c r="E31" s="17"/>
      <c r="F31" s="17"/>
      <c r="G31" s="20"/>
      <c r="H31" s="21"/>
      <c r="I31" s="22"/>
      <c r="J31" s="22"/>
      <c r="K31" s="23"/>
      <c r="L31" s="24"/>
      <c r="M31" s="24"/>
      <c r="N31" s="24"/>
      <c r="O31" s="24"/>
      <c r="P31" s="24"/>
    </row>
    <row r="32" spans="1:16" ht="18.75" hidden="1" x14ac:dyDescent="0.25">
      <c r="A32" s="16"/>
      <c r="B32" s="17"/>
      <c r="C32" s="17"/>
      <c r="D32" s="17"/>
      <c r="E32" s="25"/>
      <c r="F32" s="17"/>
      <c r="G32" s="20"/>
      <c r="H32" s="26"/>
      <c r="I32" s="22"/>
      <c r="J32" s="22"/>
      <c r="K32" s="23"/>
      <c r="L32" s="27"/>
      <c r="M32" s="27"/>
      <c r="N32" s="27"/>
      <c r="O32" s="27"/>
      <c r="P32" s="27"/>
    </row>
    <row r="33" spans="1:16" ht="18.75" hidden="1" x14ac:dyDescent="0.25">
      <c r="A33" s="16"/>
      <c r="B33" s="17"/>
      <c r="C33" s="17"/>
      <c r="D33" s="17"/>
      <c r="E33" s="25"/>
      <c r="F33" s="17"/>
      <c r="G33" s="20"/>
      <c r="H33" s="26"/>
      <c r="I33" s="22"/>
      <c r="J33" s="22"/>
      <c r="K33" s="23"/>
      <c r="L33" s="27"/>
      <c r="M33" s="27"/>
      <c r="N33" s="27"/>
      <c r="O33" s="27"/>
      <c r="P33" s="27"/>
    </row>
    <row r="34" spans="1:16" ht="18.75" hidden="1" x14ac:dyDescent="0.25">
      <c r="A34" s="16"/>
      <c r="B34" s="17"/>
      <c r="C34" s="17"/>
      <c r="D34" s="28"/>
      <c r="E34" s="17"/>
      <c r="F34" s="17"/>
      <c r="G34" s="20"/>
      <c r="H34" s="26"/>
      <c r="I34" s="22"/>
      <c r="J34" s="22"/>
      <c r="K34" s="23"/>
      <c r="L34" s="27"/>
      <c r="M34" s="27"/>
      <c r="N34" s="27"/>
      <c r="O34" s="27"/>
      <c r="P34" s="27"/>
    </row>
    <row r="35" spans="1:16" ht="18.75" hidden="1" x14ac:dyDescent="0.25">
      <c r="A35" s="16"/>
      <c r="B35" s="17"/>
      <c r="C35" s="17"/>
      <c r="D35" s="17"/>
      <c r="E35" s="25"/>
      <c r="F35" s="17"/>
      <c r="G35" s="20"/>
      <c r="H35" s="26"/>
      <c r="I35" s="22"/>
      <c r="J35" s="22"/>
      <c r="K35" s="23"/>
      <c r="L35" s="27"/>
      <c r="M35" s="27"/>
      <c r="N35" s="27"/>
      <c r="O35" s="27"/>
      <c r="P35" s="27"/>
    </row>
    <row r="36" spans="1:16" ht="18.75" hidden="1" x14ac:dyDescent="0.25">
      <c r="A36" s="16"/>
      <c r="B36" s="17"/>
      <c r="C36" s="17"/>
      <c r="D36" s="17"/>
      <c r="E36" s="25"/>
      <c r="F36" s="17"/>
      <c r="G36" s="20"/>
      <c r="H36" s="26"/>
      <c r="I36" s="22"/>
      <c r="J36" s="22"/>
      <c r="K36" s="23"/>
      <c r="L36" s="27"/>
      <c r="M36" s="27"/>
      <c r="N36" s="27"/>
      <c r="O36" s="27"/>
      <c r="P36" s="27"/>
    </row>
    <row r="37" spans="1:16" ht="18.75" hidden="1" x14ac:dyDescent="0.25">
      <c r="A37" s="16"/>
      <c r="B37" s="17"/>
      <c r="C37" s="17"/>
      <c r="D37" s="28"/>
      <c r="E37" s="17"/>
      <c r="F37" s="17"/>
      <c r="G37" s="20"/>
      <c r="H37" s="26"/>
      <c r="I37" s="22"/>
      <c r="J37" s="22"/>
      <c r="K37" s="23"/>
      <c r="L37" s="27"/>
      <c r="M37" s="27"/>
      <c r="N37" s="27"/>
      <c r="O37" s="27"/>
      <c r="P37" s="27"/>
    </row>
    <row r="38" spans="1:16" ht="18.75" hidden="1" x14ac:dyDescent="0.25">
      <c r="A38" s="16"/>
      <c r="B38" s="17"/>
      <c r="C38" s="17"/>
      <c r="D38" s="17"/>
      <c r="E38" s="25"/>
      <c r="F38" s="17"/>
      <c r="G38" s="20"/>
      <c r="H38" s="26"/>
      <c r="I38" s="22"/>
      <c r="J38" s="22"/>
      <c r="K38" s="23"/>
      <c r="L38" s="27"/>
      <c r="M38" s="27"/>
      <c r="N38" s="27"/>
      <c r="O38" s="27"/>
      <c r="P38" s="27"/>
    </row>
    <row r="39" spans="1:16" ht="18.75" hidden="1" x14ac:dyDescent="0.25">
      <c r="A39" s="29"/>
      <c r="B39" s="30"/>
      <c r="C39" s="30"/>
      <c r="D39" s="30"/>
      <c r="E39" s="31"/>
      <c r="F39" s="30"/>
      <c r="G39" s="32"/>
      <c r="H39" s="33"/>
      <c r="I39" s="34"/>
      <c r="J39" s="34"/>
      <c r="K39" s="35"/>
      <c r="L39" s="36"/>
      <c r="M39" s="36"/>
      <c r="N39" s="36"/>
      <c r="O39" s="36"/>
      <c r="P39" s="36"/>
    </row>
    <row r="40" spans="1:16" ht="19.5" x14ac:dyDescent="0.3">
      <c r="A40" s="78" t="s">
        <v>23</v>
      </c>
      <c r="B40" s="79"/>
      <c r="C40" s="79"/>
      <c r="D40" s="79"/>
      <c r="E40" s="79"/>
      <c r="F40" s="79"/>
      <c r="G40" s="80"/>
      <c r="H40" s="80"/>
      <c r="I40" s="81"/>
      <c r="J40" s="81"/>
      <c r="K40" s="82"/>
      <c r="L40" s="83">
        <f t="shared" ref="L40:N40" ca="1" si="14">L44+L59+L72+L94+L125+L139+L157+L173+L186+L266+L282+L303+L320+L333+L356</f>
        <v>48505523</v>
      </c>
      <c r="M40" s="83">
        <f t="shared" ca="1" si="14"/>
        <v>41290728</v>
      </c>
      <c r="N40" s="83">
        <f t="shared" ca="1" si="14"/>
        <v>16083905.30999998</v>
      </c>
      <c r="O40" s="83">
        <f ca="1">IF(L40&gt;0,N40*100/L40,0)</f>
        <v>33.158915346609049</v>
      </c>
      <c r="P40" s="83">
        <f ca="1">IF(M40&gt;0,N40*100/M40,0)</f>
        <v>38.952825704598816</v>
      </c>
    </row>
    <row r="41" spans="1:16" ht="19.5" x14ac:dyDescent="0.3">
      <c r="A41" s="84" t="s">
        <v>24</v>
      </c>
      <c r="B41" s="85"/>
      <c r="C41" s="85"/>
      <c r="D41" s="85"/>
      <c r="E41" s="85"/>
      <c r="F41" s="85"/>
      <c r="G41" s="85"/>
      <c r="H41" s="85"/>
      <c r="I41" s="86"/>
      <c r="J41" s="86"/>
      <c r="K41" s="87"/>
      <c r="L41" s="87"/>
      <c r="M41" s="87"/>
      <c r="N41" s="87"/>
      <c r="O41" s="87"/>
      <c r="P41" s="88"/>
    </row>
    <row r="42" spans="1:16" ht="19.5" x14ac:dyDescent="0.3">
      <c r="A42" s="89"/>
      <c r="B42" s="90" t="s">
        <v>25</v>
      </c>
      <c r="C42" s="89"/>
      <c r="D42" s="89"/>
      <c r="E42" s="89"/>
      <c r="F42" s="89"/>
      <c r="G42" s="89"/>
      <c r="H42" s="91"/>
      <c r="I42" s="92"/>
      <c r="J42" s="92"/>
      <c r="K42" s="93"/>
      <c r="L42" s="93"/>
      <c r="M42" s="93"/>
      <c r="N42" s="93"/>
      <c r="O42" s="93"/>
      <c r="P42" s="93"/>
    </row>
    <row r="43" spans="1:16" ht="19.5" hidden="1" x14ac:dyDescent="0.3">
      <c r="A43" s="16"/>
      <c r="B43" s="17"/>
      <c r="C43" s="18"/>
      <c r="D43" s="19"/>
      <c r="E43" s="17"/>
      <c r="F43" s="17"/>
      <c r="G43" s="20"/>
      <c r="H43" s="21"/>
      <c r="I43" s="22"/>
      <c r="J43" s="22"/>
      <c r="K43" s="23"/>
      <c r="L43" s="24"/>
      <c r="M43" s="24"/>
      <c r="N43" s="24"/>
      <c r="O43" s="24"/>
      <c r="P43" s="24"/>
    </row>
    <row r="44" spans="1:16" ht="19.5" x14ac:dyDescent="0.3">
      <c r="A44" s="94"/>
      <c r="B44" s="95"/>
      <c r="C44" s="96" t="s">
        <v>16</v>
      </c>
      <c r="D44" s="97" t="s">
        <v>17</v>
      </c>
      <c r="E44" s="95"/>
      <c r="F44" s="95"/>
      <c r="G44" s="98"/>
      <c r="H44" s="99" t="s">
        <v>12</v>
      </c>
      <c r="I44" s="100"/>
      <c r="J44" s="100"/>
      <c r="K44" s="101"/>
      <c r="L44" s="102">
        <f t="shared" ref="L44:N44" ca="1" si="15">L45+L46</f>
        <v>8877553</v>
      </c>
      <c r="M44" s="102">
        <f t="shared" ca="1" si="15"/>
        <v>9015298</v>
      </c>
      <c r="N44" s="102">
        <f t="shared" ca="1" si="15"/>
        <v>3546468.82</v>
      </c>
      <c r="O44" s="102">
        <f t="shared" ref="O44:O55" ca="1" si="16">IF(L44&gt;0,N44*100/L44,0)</f>
        <v>39.94872032867616</v>
      </c>
      <c r="P44" s="102">
        <f t="shared" ref="P44:P55" ca="1" si="17">IF(M44&gt;0,N44*100/M44,0)</f>
        <v>39.338342670425313</v>
      </c>
    </row>
    <row r="45" spans="1:16" ht="18.75" x14ac:dyDescent="0.25">
      <c r="A45" s="94"/>
      <c r="B45" s="95"/>
      <c r="C45" s="95"/>
      <c r="D45" s="95"/>
      <c r="E45" s="103" t="s">
        <v>18</v>
      </c>
      <c r="F45" s="95"/>
      <c r="G45" s="98"/>
      <c r="H45" s="104" t="s">
        <v>12</v>
      </c>
      <c r="I45" s="100"/>
      <c r="J45" s="100"/>
      <c r="K45" s="101"/>
      <c r="L45" s="105">
        <f t="shared" ref="L45:N45" ca="1" si="18">L48+L51+L54</f>
        <v>0</v>
      </c>
      <c r="M45" s="105">
        <f t="shared" ca="1" si="18"/>
        <v>0</v>
      </c>
      <c r="N45" s="105">
        <f t="shared" ca="1" si="18"/>
        <v>0</v>
      </c>
      <c r="O45" s="105">
        <f t="shared" ca="1" si="16"/>
        <v>0</v>
      </c>
      <c r="P45" s="105">
        <f t="shared" ca="1" si="17"/>
        <v>0</v>
      </c>
    </row>
    <row r="46" spans="1:16" ht="18.75" x14ac:dyDescent="0.25">
      <c r="A46" s="94"/>
      <c r="B46" s="95"/>
      <c r="C46" s="95"/>
      <c r="D46" s="95"/>
      <c r="E46" s="103" t="s">
        <v>19</v>
      </c>
      <c r="F46" s="95"/>
      <c r="G46" s="98"/>
      <c r="H46" s="104" t="s">
        <v>12</v>
      </c>
      <c r="I46" s="100"/>
      <c r="J46" s="100"/>
      <c r="K46" s="101"/>
      <c r="L46" s="105">
        <f t="shared" ref="L46:N46" ca="1" si="19">L49+L52+L55</f>
        <v>8877553</v>
      </c>
      <c r="M46" s="105">
        <f t="shared" ca="1" si="19"/>
        <v>9015298</v>
      </c>
      <c r="N46" s="105">
        <f t="shared" ca="1" si="19"/>
        <v>3546468.82</v>
      </c>
      <c r="O46" s="105">
        <f t="shared" ca="1" si="16"/>
        <v>39.94872032867616</v>
      </c>
      <c r="P46" s="105">
        <f t="shared" ca="1" si="17"/>
        <v>39.338342670425313</v>
      </c>
    </row>
    <row r="47" spans="1:16" ht="18.75" x14ac:dyDescent="0.25">
      <c r="A47" s="52"/>
      <c r="B47" s="53"/>
      <c r="C47" s="53"/>
      <c r="D47" s="54" t="s">
        <v>20</v>
      </c>
      <c r="E47" s="53"/>
      <c r="F47" s="53"/>
      <c r="G47" s="55"/>
      <c r="H47" s="56" t="s">
        <v>12</v>
      </c>
      <c r="I47" s="57"/>
      <c r="J47" s="57"/>
      <c r="K47" s="58"/>
      <c r="L47" s="59">
        <f t="shared" ref="L47:N47" ca="1" si="20">L48+L49</f>
        <v>8877553</v>
      </c>
      <c r="M47" s="59">
        <f t="shared" ca="1" si="20"/>
        <v>9015298</v>
      </c>
      <c r="N47" s="59">
        <f t="shared" ca="1" si="20"/>
        <v>3546468.82</v>
      </c>
      <c r="O47" s="59">
        <f t="shared" ca="1" si="16"/>
        <v>39.94872032867616</v>
      </c>
      <c r="P47" s="59">
        <f t="shared" ca="1" si="17"/>
        <v>39.338342670425313</v>
      </c>
    </row>
    <row r="48" spans="1:16" ht="18.75" x14ac:dyDescent="0.25">
      <c r="A48" s="52"/>
      <c r="B48" s="53"/>
      <c r="C48" s="53"/>
      <c r="D48" s="53"/>
      <c r="E48" s="60" t="s">
        <v>18</v>
      </c>
      <c r="F48" s="53"/>
      <c r="G48" s="55"/>
      <c r="H48" s="56" t="s">
        <v>12</v>
      </c>
      <c r="I48" s="57"/>
      <c r="J48" s="57"/>
      <c r="K48" s="58"/>
      <c r="L48" s="59">
        <f ca="1">IFERROR(__xludf.DUMMYFUNCTION("IMPORTRANGE(""https://docs.google.com/spreadsheets/d/1yhBcrRPreicbMKl9Bu_Snb2-OcQAF62RKfhTLhJ2eAA/edit?usp=sharing"",""กาฬสินธุ์!L48"")+IMPORTRANGE(""https://docs.google.com/spreadsheets/d/1aHkj4IaQMThhwWwevcOymEh837vdxeC_PycurhTbGFA/edit?usp=sharing"","""&amp;"ขอนแก่น!L48"")+IMPORTRANGE(""https://docs.google.com/spreadsheets/d/1FvTu2DsIWUjP6WCWra38Bkj_oOl_sOMf14r5Fg5srxU/edit?usp=sharing"",""ชัยภูมิ!L48"")+IMPORTRANGE(""https://docs.google.com/spreadsheets/d/1XVB7oCJ3pr-vBUdflwPQ8Z2LlzhnCvZaaYjAfP-647E/edit?usp"&amp;"=sharing"",""นครพนม!L48"")+IMPORTRANGE(""https://docs.google.com/spreadsheets/d/1Mnpb-8PYAgn85W6KOTD40hc_Xc55CaLfHoGAbrZ8tls/edit?usp=sharing"",""นครราชสีมา!L48"")+IMPORTRANGE(""https://docs.google.com/spreadsheets/d/1xoDLGBv9CYbyosIhki0kTq6IpYNj-gpjxfobn"&amp;"aDiut0/edit?usp=sharing"",""บึงกาฬ!L48"")+IMPORTRANGE(""https://docs.google.com/spreadsheets/d/1MMPq-JyI6DSgQETxuSiXkesP-P7JHuemnE6QJIa-Nlw/edit?usp=sharing"",""บุรีรัมย์!L48"")+IMPORTRANGE(""https://docs.google.com/spreadsheets/d/1l6IZ8xUPgMrESzcTYwhA1k_"&amp;"tPjeQjJPTqlm8Gd9eU5g/edit?usp=sharing"",""มหาสารคาม!L48"")+IMPORTRANGE(""https://docs.google.com/spreadsheets/d/1uB74YLqNjWX6FObjekfB2NtSYigTQyR2rq9u4Ub2Sq4/edit?usp=sharing"",""มุกดาหาร!L48"")+IMPORTRANGE(""https://docs.google.com/spreadsheets/d/1NexK3ge"&amp;"CPxCTO1fzNF8dPec7yZyUx3OaWkFBC9HsQOo/edit?usp=sharing"",""ยโสธร!L48"")+IMPORTRANGE(""https://docs.google.com/spreadsheets/d/1v_cJrbBlyqmnHPReHk44g9NrMRdENNlSy_E_c5M9fIg/edit?usp=sharing"",""ร้อยเอ็ด!L48"")+IMPORTRANGE(""https://docs.google.com/spreadsheet"&amp;"s/d/1Ul4RCpCX66NxYADU1QpwAPjOmBzW64SsT11s1wzXw_c/edit?usp=sharing"",""เลย!L48"")+IMPORTRANGE(""https://docs.google.com/spreadsheets/d/1bRrNKwbHDVktQG10isr5vbWRtt5spIZPpkOSWgbT5ug/edit?usp=sharing"",""ศรีสะเกษ!L48"")+IMPORTRANGE(""https://docs.google.com/s"&amp;"preadsheets/d/17P34_Ow5kFBfdQD0qspb2UuPX5zpi6WMrQzslghyvrI/edit?usp=sharing"",""สกลนคร!L48"")+IMPORTRANGE(""https://docs.google.com/spreadsheets/d/1yswqbM3-AEpThF3ZSUa1AcmHnmRTF1vlJ1CZGcJ8YuU/edit?usp=sharing"",""สุรินทร์!L48"")+IMPORTRANGE(""https://docs"&amp;".google.com/spreadsheets/d/13JHU_EFbsQOUQ0JSQ3dWy1VTRosIWcDq6Nc99z2qzdc/edit?usp=sharing"",""หนองคาย!L48"")+IMPORTRANGE(""https://docs.google.com/spreadsheets/d/1Hx73zIEgVdDZZaYSTc46Dqv64atFhpr3GelxLbaIN8A/edit?usp=sharing"",""หนองบัวลำภู!L48"")+IMPORTRAN"&amp;"GE(""https://docs.google.com/spreadsheets/d/1lFxr3ctmjFN90yc-xV6jrQ9Ty8BKYVBWnAZ15wcNIJc/edit?usp=sharing"",""อำนาจเจริญ!L48"")+IMPORTRANGE(""https://docs.google.com/spreadsheets/d/1gF7RJpRnL-1oyjyeWxs5SFWEH7y8ahOZsQlyp2A2e-A/edit?usp=sharing"",""อุดรธานี"&amp;"!L48"")+IMPORTRANGE(""https://docs.google.com/spreadsheets/d/1kfLP0j3INXRa8bTDpcEmoWewMBV61jlFlfzczfjWIgc/edit?usp=sharing"",""อุบลราชธานี!L48"")"),0)</f>
        <v>0</v>
      </c>
      <c r="M48" s="59">
        <f ca="1">IFERROR(__xludf.DUMMYFUNCTION("IMPORTRANGE(""https://docs.google.com/spreadsheets/d/1yhBcrRPreicbMKl9Bu_Snb2-OcQAF62RKfhTLhJ2eAA/edit?usp=sharing"",""กาฬสินธุ์!M48"")+IMPORTRANGE(""https://docs.google.com/spreadsheets/d/1aHkj4IaQMThhwWwevcOymEh837vdxeC_PycurhTbGFA/edit?usp=sharing"","""&amp;"ขอนแก่น!M48"")+IMPORTRANGE(""https://docs.google.com/spreadsheets/d/1FvTu2DsIWUjP6WCWra38Bkj_oOl_sOMf14r5Fg5srxU/edit?usp=sharing"",""ชัยภูมิ!M48"")+IMPORTRANGE(""https://docs.google.com/spreadsheets/d/1XVB7oCJ3pr-vBUdflwPQ8Z2LlzhnCvZaaYjAfP-647E/edit?usp"&amp;"=sharing"",""นครพนม!M48"")+IMPORTRANGE(""https://docs.google.com/spreadsheets/d/1Mnpb-8PYAgn85W6KOTD40hc_Xc55CaLfHoGAbrZ8tls/edit?usp=sharing"",""นครราชสีมา!M48"")+IMPORTRANGE(""https://docs.google.com/spreadsheets/d/1xoDLGBv9CYbyosIhki0kTq6IpYNj-gpjxfobn"&amp;"aDiut0/edit?usp=sharing"",""บึงกาฬ!M48"")+IMPORTRANGE(""https://docs.google.com/spreadsheets/d/1MMPq-JyI6DSgQETxuSiXkesP-P7JHuemnE6QJIa-Nlw/edit?usp=sharing"",""บุรีรัมย์!M48"")+IMPORTRANGE(""https://docs.google.com/spreadsheets/d/1l6IZ8xUPgMrESzcTYwhA1k_"&amp;"tPjeQjJPTqlm8Gd9eU5g/edit?usp=sharing"",""มหาสารคาม!M48"")+IMPORTRANGE(""https://docs.google.com/spreadsheets/d/1uB74YLqNjWX6FObjekfB2NtSYigTQyR2rq9u4Ub2Sq4/edit?usp=sharing"",""มุกดาหาร!M48"")+IMPORTRANGE(""https://docs.google.com/spreadsheets/d/1NexK3ge"&amp;"CPxCTO1fzNF8dPec7yZyUx3OaWkFBC9HsQOo/edit?usp=sharing"",""ยโสธร!M48"")+IMPORTRANGE(""https://docs.google.com/spreadsheets/d/1v_cJrbBlyqmnHPReHk44g9NrMRdENNlSy_E_c5M9fIg/edit?usp=sharing"",""ร้อยเอ็ด!M48"")+IMPORTRANGE(""https://docs.google.com/spreadsheet"&amp;"s/d/1Ul4RCpCX66NxYADU1QpwAPjOmBzW64SsT11s1wzXw_c/edit?usp=sharing"",""เลย!M48"")+IMPORTRANGE(""https://docs.google.com/spreadsheets/d/1bRrNKwbHDVktQG10isr5vbWRtt5spIZPpkOSWgbT5ug/edit?usp=sharing"",""ศรีสะเกษ!M48"")+IMPORTRANGE(""https://docs.google.com/s"&amp;"preadsheets/d/17P34_Ow5kFBfdQD0qspb2UuPX5zpi6WMrQzslghyvrI/edit?usp=sharing"",""สกลนคร!M48"")+IMPORTRANGE(""https://docs.google.com/spreadsheets/d/1yswqbM3-AEpThF3ZSUa1AcmHnmRTF1vlJ1CZGcJ8YuU/edit?usp=sharing"",""สุรินทร์!M48"")+IMPORTRANGE(""https://docs"&amp;".google.com/spreadsheets/d/13JHU_EFbsQOUQ0JSQ3dWy1VTRosIWcDq6Nc99z2qzdc/edit?usp=sharing"",""หนองคาย!M48"")+IMPORTRANGE(""https://docs.google.com/spreadsheets/d/1Hx73zIEgVdDZZaYSTc46Dqv64atFhpr3GelxLbaIN8A/edit?usp=sharing"",""หนองบัวลำภู!M48"")+IMPORTRAN"&amp;"GE(""https://docs.google.com/spreadsheets/d/1lFxr3ctmjFN90yc-xV6jrQ9Ty8BKYVBWnAZ15wcNIJc/edit?usp=sharing"",""อำนาจเจริญ!M48"")+IMPORTRANGE(""https://docs.google.com/spreadsheets/d/1gF7RJpRnL-1oyjyeWxs5SFWEH7y8ahOZsQlyp2A2e-A/edit?usp=sharing"",""อุดรธานี"&amp;"!M48"")+IMPORTRANGE(""https://docs.google.com/spreadsheets/d/1kfLP0j3INXRa8bTDpcEmoWewMBV61jlFlfzczfjWIgc/edit?usp=sharing"",""อุบลราชธานี!M48"")"),0)</f>
        <v>0</v>
      </c>
      <c r="N48" s="59">
        <f ca="1">IFERROR(__xludf.DUMMYFUNCTION("IMPORTRANGE(""https://docs.google.com/spreadsheets/d/1yhBcrRPreicbMKl9Bu_Snb2-OcQAF62RKfhTLhJ2eAA/edit?usp=sharing"",""กาฬสินธุ์!N48"")+IMPORTRANGE(""https://docs.google.com/spreadsheets/d/1aHkj4IaQMThhwWwevcOymEh837vdxeC_PycurhTbGFA/edit?usp=sharing"","""&amp;"ขอนแก่น!N48"")+IMPORTRANGE(""https://docs.google.com/spreadsheets/d/1FvTu2DsIWUjP6WCWra38Bkj_oOl_sOMf14r5Fg5srxU/edit?usp=sharing"",""ชัยภูมิ!N48"")+IMPORTRANGE(""https://docs.google.com/spreadsheets/d/1XVB7oCJ3pr-vBUdflwPQ8Z2LlzhnCvZaaYjAfP-647E/edit?usp"&amp;"=sharing"",""นครพนม!N48"")+IMPORTRANGE(""https://docs.google.com/spreadsheets/d/1Mnpb-8PYAgn85W6KOTD40hc_Xc55CaLfHoGAbrZ8tls/edit?usp=sharing"",""นครราชสีมา!N48"")+IMPORTRANGE(""https://docs.google.com/spreadsheets/d/1xoDLGBv9CYbyosIhki0kTq6IpYNj-gpjxfobn"&amp;"aDiut0/edit?usp=sharing"",""บึงกาฬ!N48"")+IMPORTRANGE(""https://docs.google.com/spreadsheets/d/1MMPq-JyI6DSgQETxuSiXkesP-P7JHuemnE6QJIa-Nlw/edit?usp=sharing"",""บุรีรัมย์!N48"")+IMPORTRANGE(""https://docs.google.com/spreadsheets/d/1l6IZ8xUPgMrESzcTYwhA1k_"&amp;"tPjeQjJPTqlm8Gd9eU5g/edit?usp=sharing"",""มหาสารคาม!N48"")+IMPORTRANGE(""https://docs.google.com/spreadsheets/d/1uB74YLqNjWX6FObjekfB2NtSYigTQyR2rq9u4Ub2Sq4/edit?usp=sharing"",""มุกดาหาร!N48"")+IMPORTRANGE(""https://docs.google.com/spreadsheets/d/1NexK3ge"&amp;"CPxCTO1fzNF8dPec7yZyUx3OaWkFBC9HsQOo/edit?usp=sharing"",""ยโสธร!N48"")+IMPORTRANGE(""https://docs.google.com/spreadsheets/d/1v_cJrbBlyqmnHPReHk44g9NrMRdENNlSy_E_c5M9fIg/edit?usp=sharing"",""ร้อยเอ็ด!N48"")+IMPORTRANGE(""https://docs.google.com/spreadsheet"&amp;"s/d/1Ul4RCpCX66NxYADU1QpwAPjOmBzW64SsT11s1wzXw_c/edit?usp=sharing"",""เลย!N48"")+IMPORTRANGE(""https://docs.google.com/spreadsheets/d/1bRrNKwbHDVktQG10isr5vbWRtt5spIZPpkOSWgbT5ug/edit?usp=sharing"",""ศรีสะเกษ!N48"")+IMPORTRANGE(""https://docs.google.com/s"&amp;"preadsheets/d/17P34_Ow5kFBfdQD0qspb2UuPX5zpi6WMrQzslghyvrI/edit?usp=sharing"",""สกลนคร!N48"")+IMPORTRANGE(""https://docs.google.com/spreadsheets/d/1yswqbM3-AEpThF3ZSUa1AcmHnmRTF1vlJ1CZGcJ8YuU/edit?usp=sharing"",""สุรินทร์!N48"")+IMPORTRANGE(""https://docs"&amp;".google.com/spreadsheets/d/13JHU_EFbsQOUQ0JSQ3dWy1VTRosIWcDq6Nc99z2qzdc/edit?usp=sharing"",""หนองคาย!N48"")+IMPORTRANGE(""https://docs.google.com/spreadsheets/d/1Hx73zIEgVdDZZaYSTc46Dqv64atFhpr3GelxLbaIN8A/edit?usp=sharing"",""หนองบัวลำภู!N48"")+IMPORTRAN"&amp;"GE(""https://docs.google.com/spreadsheets/d/1lFxr3ctmjFN90yc-xV6jrQ9Ty8BKYVBWnAZ15wcNIJc/edit?usp=sharing"",""อำนาจเจริญ!N48"")+IMPORTRANGE(""https://docs.google.com/spreadsheets/d/1gF7RJpRnL-1oyjyeWxs5SFWEH7y8ahOZsQlyp2A2e-A/edit?usp=sharing"",""อุดรธานี"&amp;"!N48"")+IMPORTRANGE(""https://docs.google.com/spreadsheets/d/1kfLP0j3INXRa8bTDpcEmoWewMBV61jlFlfzczfjWIgc/edit?usp=sharing"",""อุบลราชธานี!N48"")"),0)</f>
        <v>0</v>
      </c>
      <c r="O48" s="59">
        <f t="shared" ca="1" si="16"/>
        <v>0</v>
      </c>
      <c r="P48" s="59">
        <f t="shared" ca="1" si="17"/>
        <v>0</v>
      </c>
    </row>
    <row r="49" spans="1:16" ht="18.75" x14ac:dyDescent="0.25">
      <c r="A49" s="52"/>
      <c r="B49" s="53"/>
      <c r="C49" s="53"/>
      <c r="D49" s="53"/>
      <c r="E49" s="60" t="s">
        <v>19</v>
      </c>
      <c r="F49" s="53"/>
      <c r="G49" s="55"/>
      <c r="H49" s="56" t="s">
        <v>12</v>
      </c>
      <c r="I49" s="57"/>
      <c r="J49" s="57"/>
      <c r="K49" s="58"/>
      <c r="L49" s="59">
        <f ca="1">IFERROR(__xludf.DUMMYFUNCTION("IMPORTRANGE(""https://docs.google.com/spreadsheets/d/1yhBcrRPreicbMKl9Bu_Snb2-OcQAF62RKfhTLhJ2eAA/edit?usp=sharing"",""กาฬสินธุ์!L49"")+IMPORTRANGE(""https://docs.google.com/spreadsheets/d/1aHkj4IaQMThhwWwevcOymEh837vdxeC_PycurhTbGFA/edit?usp=sharing"","""&amp;"ขอนแก่น!L49"")+IMPORTRANGE(""https://docs.google.com/spreadsheets/d/1FvTu2DsIWUjP6WCWra38Bkj_oOl_sOMf14r5Fg5srxU/edit?usp=sharing"",""ชัยภูมิ!L49"")+IMPORTRANGE(""https://docs.google.com/spreadsheets/d/1XVB7oCJ3pr-vBUdflwPQ8Z2LlzhnCvZaaYjAfP-647E/edit?usp"&amp;"=sharing"",""นครพนม!L49"")+IMPORTRANGE(""https://docs.google.com/spreadsheets/d/1Mnpb-8PYAgn85W6KOTD40hc_Xc55CaLfHoGAbrZ8tls/edit?usp=sharing"",""นครราชสีมา!L49"")+IMPORTRANGE(""https://docs.google.com/spreadsheets/d/1xoDLGBv9CYbyosIhki0kTq6IpYNj-gpjxfobn"&amp;"aDiut0/edit?usp=sharing"",""บึงกาฬ!L49"")+IMPORTRANGE(""https://docs.google.com/spreadsheets/d/1MMPq-JyI6DSgQETxuSiXkesP-P7JHuemnE6QJIa-Nlw/edit?usp=sharing"",""บุรีรัมย์!L49"")+IMPORTRANGE(""https://docs.google.com/spreadsheets/d/1l6IZ8xUPgMrESzcTYwhA1k_"&amp;"tPjeQjJPTqlm8Gd9eU5g/edit?usp=sharing"",""มหาสารคาม!L49"")+IMPORTRANGE(""https://docs.google.com/spreadsheets/d/1uB74YLqNjWX6FObjekfB2NtSYigTQyR2rq9u4Ub2Sq4/edit?usp=sharing"",""มุกดาหาร!L49"")+IMPORTRANGE(""https://docs.google.com/spreadsheets/d/1NexK3ge"&amp;"CPxCTO1fzNF8dPec7yZyUx3OaWkFBC9HsQOo/edit?usp=sharing"",""ยโสธร!L49"")+IMPORTRANGE(""https://docs.google.com/spreadsheets/d/1v_cJrbBlyqmnHPReHk44g9NrMRdENNlSy_E_c5M9fIg/edit?usp=sharing"",""ร้อยเอ็ด!L49"")+IMPORTRANGE(""https://docs.google.com/spreadsheet"&amp;"s/d/1Ul4RCpCX66NxYADU1QpwAPjOmBzW64SsT11s1wzXw_c/edit?usp=sharing"",""เลย!L49"")+IMPORTRANGE(""https://docs.google.com/spreadsheets/d/1bRrNKwbHDVktQG10isr5vbWRtt5spIZPpkOSWgbT5ug/edit?usp=sharing"",""ศรีสะเกษ!L49"")+IMPORTRANGE(""https://docs.google.com/s"&amp;"preadsheets/d/17P34_Ow5kFBfdQD0qspb2UuPX5zpi6WMrQzslghyvrI/edit?usp=sharing"",""สกลนคร!L49"")+IMPORTRANGE(""https://docs.google.com/spreadsheets/d/1yswqbM3-AEpThF3ZSUa1AcmHnmRTF1vlJ1CZGcJ8YuU/edit?usp=sharing"",""สุรินทร์!L49"")+IMPORTRANGE(""https://docs"&amp;".google.com/spreadsheets/d/13JHU_EFbsQOUQ0JSQ3dWy1VTRosIWcDq6Nc99z2qzdc/edit?usp=sharing"",""หนองคาย!L49"")+IMPORTRANGE(""https://docs.google.com/spreadsheets/d/1Hx73zIEgVdDZZaYSTc46Dqv64atFhpr3GelxLbaIN8A/edit?usp=sharing"",""หนองบัวลำภู!L49"")+IMPORTRAN"&amp;"GE(""https://docs.google.com/spreadsheets/d/1lFxr3ctmjFN90yc-xV6jrQ9Ty8BKYVBWnAZ15wcNIJc/edit?usp=sharing"",""อำนาจเจริญ!L49"")+IMPORTRANGE(""https://docs.google.com/spreadsheets/d/1gF7RJpRnL-1oyjyeWxs5SFWEH7y8ahOZsQlyp2A2e-A/edit?usp=sharing"",""อุดรธานี"&amp;"!L49"")+IMPORTRANGE(""https://docs.google.com/spreadsheets/d/1kfLP0j3INXRa8bTDpcEmoWewMBV61jlFlfzczfjWIgc/edit?usp=sharing"",""อุบลราชธานี!L49"")"),8877553)</f>
        <v>8877553</v>
      </c>
      <c r="M49" s="59">
        <f ca="1">IFERROR(__xludf.DUMMYFUNCTION("IMPORTRANGE(""https://docs.google.com/spreadsheets/d/1yhBcrRPreicbMKl9Bu_Snb2-OcQAF62RKfhTLhJ2eAA/edit?usp=sharing"",""กาฬสินธุ์!M49"")+IMPORTRANGE(""https://docs.google.com/spreadsheets/d/1aHkj4IaQMThhwWwevcOymEh837vdxeC_PycurhTbGFA/edit?usp=sharing"","""&amp;"ขอนแก่น!M49"")+IMPORTRANGE(""https://docs.google.com/spreadsheets/d/1FvTu2DsIWUjP6WCWra38Bkj_oOl_sOMf14r5Fg5srxU/edit?usp=sharing"",""ชัยภูมิ!M49"")+IMPORTRANGE(""https://docs.google.com/spreadsheets/d/1XVB7oCJ3pr-vBUdflwPQ8Z2LlzhnCvZaaYjAfP-647E/edit?usp"&amp;"=sharing"",""นครพนม!M49"")+IMPORTRANGE(""https://docs.google.com/spreadsheets/d/1Mnpb-8PYAgn85W6KOTD40hc_Xc55CaLfHoGAbrZ8tls/edit?usp=sharing"",""นครราชสีมา!M49"")+IMPORTRANGE(""https://docs.google.com/spreadsheets/d/1xoDLGBv9CYbyosIhki0kTq6IpYNj-gpjxfobn"&amp;"aDiut0/edit?usp=sharing"",""บึงกาฬ!M49"")+IMPORTRANGE(""https://docs.google.com/spreadsheets/d/1MMPq-JyI6DSgQETxuSiXkesP-P7JHuemnE6QJIa-Nlw/edit?usp=sharing"",""บุรีรัมย์!M49"")+IMPORTRANGE(""https://docs.google.com/spreadsheets/d/1l6IZ8xUPgMrESzcTYwhA1k_"&amp;"tPjeQjJPTqlm8Gd9eU5g/edit?usp=sharing"",""มหาสารคาม!M49"")+IMPORTRANGE(""https://docs.google.com/spreadsheets/d/1uB74YLqNjWX6FObjekfB2NtSYigTQyR2rq9u4Ub2Sq4/edit?usp=sharing"",""มุกดาหาร!M49"")+IMPORTRANGE(""https://docs.google.com/spreadsheets/d/1NexK3ge"&amp;"CPxCTO1fzNF8dPec7yZyUx3OaWkFBC9HsQOo/edit?usp=sharing"",""ยโสธร!M49"")+IMPORTRANGE(""https://docs.google.com/spreadsheets/d/1v_cJrbBlyqmnHPReHk44g9NrMRdENNlSy_E_c5M9fIg/edit?usp=sharing"",""ร้อยเอ็ด!M49"")+IMPORTRANGE(""https://docs.google.com/spreadsheet"&amp;"s/d/1Ul4RCpCX66NxYADU1QpwAPjOmBzW64SsT11s1wzXw_c/edit?usp=sharing"",""เลย!M49"")+IMPORTRANGE(""https://docs.google.com/spreadsheets/d/1bRrNKwbHDVktQG10isr5vbWRtt5spIZPpkOSWgbT5ug/edit?usp=sharing"",""ศรีสะเกษ!M49"")+IMPORTRANGE(""https://docs.google.com/s"&amp;"preadsheets/d/17P34_Ow5kFBfdQD0qspb2UuPX5zpi6WMrQzslghyvrI/edit?usp=sharing"",""สกลนคร!M49"")+IMPORTRANGE(""https://docs.google.com/spreadsheets/d/1yswqbM3-AEpThF3ZSUa1AcmHnmRTF1vlJ1CZGcJ8YuU/edit?usp=sharing"",""สุรินทร์!M49"")+IMPORTRANGE(""https://docs"&amp;".google.com/spreadsheets/d/13JHU_EFbsQOUQ0JSQ3dWy1VTRosIWcDq6Nc99z2qzdc/edit?usp=sharing"",""หนองคาย!M49"")+IMPORTRANGE(""https://docs.google.com/spreadsheets/d/1Hx73zIEgVdDZZaYSTc46Dqv64atFhpr3GelxLbaIN8A/edit?usp=sharing"",""หนองบัวลำภู!M49"")+IMPORTRAN"&amp;"GE(""https://docs.google.com/spreadsheets/d/1lFxr3ctmjFN90yc-xV6jrQ9Ty8BKYVBWnAZ15wcNIJc/edit?usp=sharing"",""อำนาจเจริญ!M49"")+IMPORTRANGE(""https://docs.google.com/spreadsheets/d/1gF7RJpRnL-1oyjyeWxs5SFWEH7y8ahOZsQlyp2A2e-A/edit?usp=sharing"",""อุดรธานี"&amp;"!M49"")+IMPORTRANGE(""https://docs.google.com/spreadsheets/d/1kfLP0j3INXRa8bTDpcEmoWewMBV61jlFlfzczfjWIgc/edit?usp=sharing"",""อุบลราชธานี!M49"")"),9015298)</f>
        <v>9015298</v>
      </c>
      <c r="N49" s="59">
        <f ca="1">IFERROR(__xludf.DUMMYFUNCTION("IMPORTRANGE(""https://docs.google.com/spreadsheets/d/1yhBcrRPreicbMKl9Bu_Snb2-OcQAF62RKfhTLhJ2eAA/edit?usp=sharing"",""กาฬสินธุ์!N49"")+IMPORTRANGE(""https://docs.google.com/spreadsheets/d/1aHkj4IaQMThhwWwevcOymEh837vdxeC_PycurhTbGFA/edit?usp=sharing"","""&amp;"ขอนแก่น!N49"")+IMPORTRANGE(""https://docs.google.com/spreadsheets/d/1FvTu2DsIWUjP6WCWra38Bkj_oOl_sOMf14r5Fg5srxU/edit?usp=sharing"",""ชัยภูมิ!N49"")+IMPORTRANGE(""https://docs.google.com/spreadsheets/d/1XVB7oCJ3pr-vBUdflwPQ8Z2LlzhnCvZaaYjAfP-647E/edit?usp"&amp;"=sharing"",""นครพนม!N49"")+IMPORTRANGE(""https://docs.google.com/spreadsheets/d/1Mnpb-8PYAgn85W6KOTD40hc_Xc55CaLfHoGAbrZ8tls/edit?usp=sharing"",""นครราชสีมา!N49"")+IMPORTRANGE(""https://docs.google.com/spreadsheets/d/1xoDLGBv9CYbyosIhki0kTq6IpYNj-gpjxfobn"&amp;"aDiut0/edit?usp=sharing"",""บึงกาฬ!N49"")+IMPORTRANGE(""https://docs.google.com/spreadsheets/d/1MMPq-JyI6DSgQETxuSiXkesP-P7JHuemnE6QJIa-Nlw/edit?usp=sharing"",""บุรีรัมย์!N49"")+IMPORTRANGE(""https://docs.google.com/spreadsheets/d/1l6IZ8xUPgMrESzcTYwhA1k_"&amp;"tPjeQjJPTqlm8Gd9eU5g/edit?usp=sharing"",""มหาสารคาม!N49"")+IMPORTRANGE(""https://docs.google.com/spreadsheets/d/1uB74YLqNjWX6FObjekfB2NtSYigTQyR2rq9u4Ub2Sq4/edit?usp=sharing"",""มุกดาหาร!N49"")+IMPORTRANGE(""https://docs.google.com/spreadsheets/d/1NexK3ge"&amp;"CPxCTO1fzNF8dPec7yZyUx3OaWkFBC9HsQOo/edit?usp=sharing"",""ยโสธร!N49"")+IMPORTRANGE(""https://docs.google.com/spreadsheets/d/1v_cJrbBlyqmnHPReHk44g9NrMRdENNlSy_E_c5M9fIg/edit?usp=sharing"",""ร้อยเอ็ด!N49"")+IMPORTRANGE(""https://docs.google.com/spreadsheet"&amp;"s/d/1Ul4RCpCX66NxYADU1QpwAPjOmBzW64SsT11s1wzXw_c/edit?usp=sharing"",""เลย!N49"")+IMPORTRANGE(""https://docs.google.com/spreadsheets/d/1bRrNKwbHDVktQG10isr5vbWRtt5spIZPpkOSWgbT5ug/edit?usp=sharing"",""ศรีสะเกษ!N49"")+IMPORTRANGE(""https://docs.google.com/s"&amp;"preadsheets/d/17P34_Ow5kFBfdQD0qspb2UuPX5zpi6WMrQzslghyvrI/edit?usp=sharing"",""สกลนคร!N49"")+IMPORTRANGE(""https://docs.google.com/spreadsheets/d/1yswqbM3-AEpThF3ZSUa1AcmHnmRTF1vlJ1CZGcJ8YuU/edit?usp=sharing"",""สุรินทร์!N49"")+IMPORTRANGE(""https://docs"&amp;".google.com/spreadsheets/d/13JHU_EFbsQOUQ0JSQ3dWy1VTRosIWcDq6Nc99z2qzdc/edit?usp=sharing"",""หนองคาย!N49"")+IMPORTRANGE(""https://docs.google.com/spreadsheets/d/1Hx73zIEgVdDZZaYSTc46Dqv64atFhpr3GelxLbaIN8A/edit?usp=sharing"",""หนองบัวลำภู!N49"")+IMPORTRAN"&amp;"GE(""https://docs.google.com/spreadsheets/d/1lFxr3ctmjFN90yc-xV6jrQ9Ty8BKYVBWnAZ15wcNIJc/edit?usp=sharing"",""อำนาจเจริญ!N49"")+IMPORTRANGE(""https://docs.google.com/spreadsheets/d/1gF7RJpRnL-1oyjyeWxs5SFWEH7y8ahOZsQlyp2A2e-A/edit?usp=sharing"",""อุดรธานี"&amp;"!N49"")+IMPORTRANGE(""https://docs.google.com/spreadsheets/d/1kfLP0j3INXRa8bTDpcEmoWewMBV61jlFlfzczfjWIgc/edit?usp=sharing"",""อุบลราชธานี!N49"")"),3546468.82)</f>
        <v>3546468.82</v>
      </c>
      <c r="O49" s="59">
        <f t="shared" ca="1" si="16"/>
        <v>39.94872032867616</v>
      </c>
      <c r="P49" s="59">
        <f t="shared" ca="1" si="17"/>
        <v>39.338342670425313</v>
      </c>
    </row>
    <row r="50" spans="1:16" ht="18.75" x14ac:dyDescent="0.25">
      <c r="A50" s="52"/>
      <c r="B50" s="53"/>
      <c r="C50" s="53"/>
      <c r="D50" s="106" t="s">
        <v>21</v>
      </c>
      <c r="E50" s="53"/>
      <c r="F50" s="53"/>
      <c r="G50" s="55"/>
      <c r="H50" s="56" t="s">
        <v>12</v>
      </c>
      <c r="I50" s="57"/>
      <c r="J50" s="57"/>
      <c r="K50" s="58"/>
      <c r="L50" s="59">
        <f t="shared" ref="L50:N50" ca="1" si="21">L51+L52</f>
        <v>0</v>
      </c>
      <c r="M50" s="59">
        <f t="shared" ca="1" si="21"/>
        <v>0</v>
      </c>
      <c r="N50" s="59">
        <f t="shared" ca="1" si="21"/>
        <v>0</v>
      </c>
      <c r="O50" s="59">
        <f t="shared" ca="1" si="16"/>
        <v>0</v>
      </c>
      <c r="P50" s="59">
        <f t="shared" ca="1" si="17"/>
        <v>0</v>
      </c>
    </row>
    <row r="51" spans="1:16" ht="18.75" x14ac:dyDescent="0.25">
      <c r="A51" s="52"/>
      <c r="B51" s="53"/>
      <c r="C51" s="53"/>
      <c r="D51" s="53"/>
      <c r="E51" s="60" t="s">
        <v>18</v>
      </c>
      <c r="F51" s="53"/>
      <c r="G51" s="55"/>
      <c r="H51" s="56" t="s">
        <v>12</v>
      </c>
      <c r="I51" s="57"/>
      <c r="J51" s="57"/>
      <c r="K51" s="58"/>
      <c r="L51" s="59">
        <f ca="1">IFERROR(__xludf.DUMMYFUNCTION("IMPORTRANGE(""https://docs.google.com/spreadsheets/d/1yhBcrRPreicbMKl9Bu_Snb2-OcQAF62RKfhTLhJ2eAA/edit?usp=sharing"",""กาฬสินธุ์!L51"")+IMPORTRANGE(""https://docs.google.com/spreadsheets/d/1aHkj4IaQMThhwWwevcOymEh837vdxeC_PycurhTbGFA/edit?usp=sharing"","""&amp;"ขอนแก่น!L51"")+IMPORTRANGE(""https://docs.google.com/spreadsheets/d/1FvTu2DsIWUjP6WCWra38Bkj_oOl_sOMf14r5Fg5srxU/edit?usp=sharing"",""ชัยภูมิ!L51"")+IMPORTRANGE(""https://docs.google.com/spreadsheets/d/1XVB7oCJ3pr-vBUdflwPQ8Z2LlzhnCvZaaYjAfP-647E/edit?usp"&amp;"=sharing"",""นครพนม!L51"")+IMPORTRANGE(""https://docs.google.com/spreadsheets/d/1Mnpb-8PYAgn85W6KOTD40hc_Xc55CaLfHoGAbrZ8tls/edit?usp=sharing"",""นครราชสีมา!L51"")+IMPORTRANGE(""https://docs.google.com/spreadsheets/d/1xoDLGBv9CYbyosIhki0kTq6IpYNj-gpjxfobn"&amp;"aDiut0/edit?usp=sharing"",""บึงกาฬ!L51"")+IMPORTRANGE(""https://docs.google.com/spreadsheets/d/1MMPq-JyI6DSgQETxuSiXkesP-P7JHuemnE6QJIa-Nlw/edit?usp=sharing"",""บุรีรัมย์!L51"")+IMPORTRANGE(""https://docs.google.com/spreadsheets/d/1l6IZ8xUPgMrESzcTYwhA1k_"&amp;"tPjeQjJPTqlm8Gd9eU5g/edit?usp=sharing"",""มหาสารคาม!L51"")+IMPORTRANGE(""https://docs.google.com/spreadsheets/d/1uB74YLqNjWX6FObjekfB2NtSYigTQyR2rq9u4Ub2Sq4/edit?usp=sharing"",""มุกดาหาร!L51"")+IMPORTRANGE(""https://docs.google.com/spreadsheets/d/1NexK3ge"&amp;"CPxCTO1fzNF8dPec7yZyUx3OaWkFBC9HsQOo/edit?usp=sharing"",""ยโสธร!L51"")+IMPORTRANGE(""https://docs.google.com/spreadsheets/d/1v_cJrbBlyqmnHPReHk44g9NrMRdENNlSy_E_c5M9fIg/edit?usp=sharing"",""ร้อยเอ็ด!L51"")+IMPORTRANGE(""https://docs.google.com/spreadsheet"&amp;"s/d/1Ul4RCpCX66NxYADU1QpwAPjOmBzW64SsT11s1wzXw_c/edit?usp=sharing"",""เลย!L51"")+IMPORTRANGE(""https://docs.google.com/spreadsheets/d/1bRrNKwbHDVktQG10isr5vbWRtt5spIZPpkOSWgbT5ug/edit?usp=sharing"",""ศรีสะเกษ!L51"")+IMPORTRANGE(""https://docs.google.com/s"&amp;"preadsheets/d/17P34_Ow5kFBfdQD0qspb2UuPX5zpi6WMrQzslghyvrI/edit?usp=sharing"",""สกลนคร!L51"")+IMPORTRANGE(""https://docs.google.com/spreadsheets/d/1yswqbM3-AEpThF3ZSUa1AcmHnmRTF1vlJ1CZGcJ8YuU/edit?usp=sharing"",""สุรินทร์!L51"")+IMPORTRANGE(""https://docs"&amp;".google.com/spreadsheets/d/13JHU_EFbsQOUQ0JSQ3dWy1VTRosIWcDq6Nc99z2qzdc/edit?usp=sharing"",""หนองคาย!L51"")+IMPORTRANGE(""https://docs.google.com/spreadsheets/d/1Hx73zIEgVdDZZaYSTc46Dqv64atFhpr3GelxLbaIN8A/edit?usp=sharing"",""หนองบัวลำภู!L51"")+IMPORTRAN"&amp;"GE(""https://docs.google.com/spreadsheets/d/1lFxr3ctmjFN90yc-xV6jrQ9Ty8BKYVBWnAZ15wcNIJc/edit?usp=sharing"",""อำนาจเจริญ!L51"")+IMPORTRANGE(""https://docs.google.com/spreadsheets/d/1gF7RJpRnL-1oyjyeWxs5SFWEH7y8ahOZsQlyp2A2e-A/edit?usp=sharing"",""อุดรธานี"&amp;"!L51"")+IMPORTRANGE(""https://docs.google.com/spreadsheets/d/1kfLP0j3INXRa8bTDpcEmoWewMBV61jlFlfzczfjWIgc/edit?usp=sharing"",""อุบลราชธานี!L51"")"),0)</f>
        <v>0</v>
      </c>
      <c r="M51" s="59">
        <f ca="1">IFERROR(__xludf.DUMMYFUNCTION("IMPORTRANGE(""https://docs.google.com/spreadsheets/d/1yhBcrRPreicbMKl9Bu_Snb2-OcQAF62RKfhTLhJ2eAA/edit?usp=sharing"",""กาฬสินธุ์!M51"")+IMPORTRANGE(""https://docs.google.com/spreadsheets/d/1aHkj4IaQMThhwWwevcOymEh837vdxeC_PycurhTbGFA/edit?usp=sharing"","""&amp;"ขอนแก่น!M51"")+IMPORTRANGE(""https://docs.google.com/spreadsheets/d/1FvTu2DsIWUjP6WCWra38Bkj_oOl_sOMf14r5Fg5srxU/edit?usp=sharing"",""ชัยภูมิ!M51"")+IMPORTRANGE(""https://docs.google.com/spreadsheets/d/1XVB7oCJ3pr-vBUdflwPQ8Z2LlzhnCvZaaYjAfP-647E/edit?usp"&amp;"=sharing"",""นครพนม!M51"")+IMPORTRANGE(""https://docs.google.com/spreadsheets/d/1Mnpb-8PYAgn85W6KOTD40hc_Xc55CaLfHoGAbrZ8tls/edit?usp=sharing"",""นครราชสีมา!M51"")+IMPORTRANGE(""https://docs.google.com/spreadsheets/d/1xoDLGBv9CYbyosIhki0kTq6IpYNj-gpjxfobn"&amp;"aDiut0/edit?usp=sharing"",""บึงกาฬ!M51"")+IMPORTRANGE(""https://docs.google.com/spreadsheets/d/1MMPq-JyI6DSgQETxuSiXkesP-P7JHuemnE6QJIa-Nlw/edit?usp=sharing"",""บุรีรัมย์!M51"")+IMPORTRANGE(""https://docs.google.com/spreadsheets/d/1l6IZ8xUPgMrESzcTYwhA1k_"&amp;"tPjeQjJPTqlm8Gd9eU5g/edit?usp=sharing"",""มหาสารคาม!M51"")+IMPORTRANGE(""https://docs.google.com/spreadsheets/d/1uB74YLqNjWX6FObjekfB2NtSYigTQyR2rq9u4Ub2Sq4/edit?usp=sharing"",""มุกดาหาร!M51"")+IMPORTRANGE(""https://docs.google.com/spreadsheets/d/1NexK3ge"&amp;"CPxCTO1fzNF8dPec7yZyUx3OaWkFBC9HsQOo/edit?usp=sharing"",""ยโสธร!M51"")+IMPORTRANGE(""https://docs.google.com/spreadsheets/d/1v_cJrbBlyqmnHPReHk44g9NrMRdENNlSy_E_c5M9fIg/edit?usp=sharing"",""ร้อยเอ็ด!M51"")+IMPORTRANGE(""https://docs.google.com/spreadsheet"&amp;"s/d/1Ul4RCpCX66NxYADU1QpwAPjOmBzW64SsT11s1wzXw_c/edit?usp=sharing"",""เลย!M51"")+IMPORTRANGE(""https://docs.google.com/spreadsheets/d/1bRrNKwbHDVktQG10isr5vbWRtt5spIZPpkOSWgbT5ug/edit?usp=sharing"",""ศรีสะเกษ!M51"")+IMPORTRANGE(""https://docs.google.com/s"&amp;"preadsheets/d/17P34_Ow5kFBfdQD0qspb2UuPX5zpi6WMrQzslghyvrI/edit?usp=sharing"",""สกลนคร!M51"")+IMPORTRANGE(""https://docs.google.com/spreadsheets/d/1yswqbM3-AEpThF3ZSUa1AcmHnmRTF1vlJ1CZGcJ8YuU/edit?usp=sharing"",""สุรินทร์!M51"")+IMPORTRANGE(""https://docs"&amp;".google.com/spreadsheets/d/13JHU_EFbsQOUQ0JSQ3dWy1VTRosIWcDq6Nc99z2qzdc/edit?usp=sharing"",""หนองคาย!M51"")+IMPORTRANGE(""https://docs.google.com/spreadsheets/d/1Hx73zIEgVdDZZaYSTc46Dqv64atFhpr3GelxLbaIN8A/edit?usp=sharing"",""หนองบัวลำภู!M51"")+IMPORTRAN"&amp;"GE(""https://docs.google.com/spreadsheets/d/1lFxr3ctmjFN90yc-xV6jrQ9Ty8BKYVBWnAZ15wcNIJc/edit?usp=sharing"",""อำนาจเจริญ!M51"")+IMPORTRANGE(""https://docs.google.com/spreadsheets/d/1gF7RJpRnL-1oyjyeWxs5SFWEH7y8ahOZsQlyp2A2e-A/edit?usp=sharing"",""อุดรธานี"&amp;"!M51"")+IMPORTRANGE(""https://docs.google.com/spreadsheets/d/1kfLP0j3INXRa8bTDpcEmoWewMBV61jlFlfzczfjWIgc/edit?usp=sharing"",""อุบลราชธานี!M51"")"),0)</f>
        <v>0</v>
      </c>
      <c r="N51" s="59">
        <f ca="1">IFERROR(__xludf.DUMMYFUNCTION("IMPORTRANGE(""https://docs.google.com/spreadsheets/d/1yhBcrRPreicbMKl9Bu_Snb2-OcQAF62RKfhTLhJ2eAA/edit?usp=sharing"",""กาฬสินธุ์!N51"")+IMPORTRANGE(""https://docs.google.com/spreadsheets/d/1aHkj4IaQMThhwWwevcOymEh837vdxeC_PycurhTbGFA/edit?usp=sharing"","""&amp;"ขอนแก่น!N51"")+IMPORTRANGE(""https://docs.google.com/spreadsheets/d/1FvTu2DsIWUjP6WCWra38Bkj_oOl_sOMf14r5Fg5srxU/edit?usp=sharing"",""ชัยภูมิ!N51"")+IMPORTRANGE(""https://docs.google.com/spreadsheets/d/1XVB7oCJ3pr-vBUdflwPQ8Z2LlzhnCvZaaYjAfP-647E/edit?usp"&amp;"=sharing"",""นครพนม!N51"")+IMPORTRANGE(""https://docs.google.com/spreadsheets/d/1Mnpb-8PYAgn85W6KOTD40hc_Xc55CaLfHoGAbrZ8tls/edit?usp=sharing"",""นครราชสีมา!N51"")+IMPORTRANGE(""https://docs.google.com/spreadsheets/d/1xoDLGBv9CYbyosIhki0kTq6IpYNj-gpjxfobn"&amp;"aDiut0/edit?usp=sharing"",""บึงกาฬ!N51"")+IMPORTRANGE(""https://docs.google.com/spreadsheets/d/1MMPq-JyI6DSgQETxuSiXkesP-P7JHuemnE6QJIa-Nlw/edit?usp=sharing"",""บุรีรัมย์!N51"")+IMPORTRANGE(""https://docs.google.com/spreadsheets/d/1l6IZ8xUPgMrESzcTYwhA1k_"&amp;"tPjeQjJPTqlm8Gd9eU5g/edit?usp=sharing"",""มหาสารคาม!N51"")+IMPORTRANGE(""https://docs.google.com/spreadsheets/d/1uB74YLqNjWX6FObjekfB2NtSYigTQyR2rq9u4Ub2Sq4/edit?usp=sharing"",""มุกดาหาร!N51"")+IMPORTRANGE(""https://docs.google.com/spreadsheets/d/1NexK3ge"&amp;"CPxCTO1fzNF8dPec7yZyUx3OaWkFBC9HsQOo/edit?usp=sharing"",""ยโสธร!N51"")+IMPORTRANGE(""https://docs.google.com/spreadsheets/d/1v_cJrbBlyqmnHPReHk44g9NrMRdENNlSy_E_c5M9fIg/edit?usp=sharing"",""ร้อยเอ็ด!N51"")+IMPORTRANGE(""https://docs.google.com/spreadsheet"&amp;"s/d/1Ul4RCpCX66NxYADU1QpwAPjOmBzW64SsT11s1wzXw_c/edit?usp=sharing"",""เลย!N51"")+IMPORTRANGE(""https://docs.google.com/spreadsheets/d/1bRrNKwbHDVktQG10isr5vbWRtt5spIZPpkOSWgbT5ug/edit?usp=sharing"",""ศรีสะเกษ!N51"")+IMPORTRANGE(""https://docs.google.com/s"&amp;"preadsheets/d/17P34_Ow5kFBfdQD0qspb2UuPX5zpi6WMrQzslghyvrI/edit?usp=sharing"",""สกลนคร!N51"")+IMPORTRANGE(""https://docs.google.com/spreadsheets/d/1yswqbM3-AEpThF3ZSUa1AcmHnmRTF1vlJ1CZGcJ8YuU/edit?usp=sharing"",""สุรินทร์!N51"")+IMPORTRANGE(""https://docs"&amp;".google.com/spreadsheets/d/13JHU_EFbsQOUQ0JSQ3dWy1VTRosIWcDq6Nc99z2qzdc/edit?usp=sharing"",""หนองคาย!N51"")+IMPORTRANGE(""https://docs.google.com/spreadsheets/d/1Hx73zIEgVdDZZaYSTc46Dqv64atFhpr3GelxLbaIN8A/edit?usp=sharing"",""หนองบัวลำภู!N51"")+IMPORTRAN"&amp;"GE(""https://docs.google.com/spreadsheets/d/1lFxr3ctmjFN90yc-xV6jrQ9Ty8BKYVBWnAZ15wcNIJc/edit?usp=sharing"",""อำนาจเจริญ!N51"")+IMPORTRANGE(""https://docs.google.com/spreadsheets/d/1gF7RJpRnL-1oyjyeWxs5SFWEH7y8ahOZsQlyp2A2e-A/edit?usp=sharing"",""อุดรธานี"&amp;"!N51"")+IMPORTRANGE(""https://docs.google.com/spreadsheets/d/1kfLP0j3INXRa8bTDpcEmoWewMBV61jlFlfzczfjWIgc/edit?usp=sharing"",""อุบลราชธานี!N51"")"),0)</f>
        <v>0</v>
      </c>
      <c r="O51" s="59">
        <f t="shared" ca="1" si="16"/>
        <v>0</v>
      </c>
      <c r="P51" s="59">
        <f t="shared" ca="1" si="17"/>
        <v>0</v>
      </c>
    </row>
    <row r="52" spans="1:16" ht="18.75" x14ac:dyDescent="0.25">
      <c r="A52" s="52"/>
      <c r="B52" s="53"/>
      <c r="C52" s="53"/>
      <c r="D52" s="53"/>
      <c r="E52" s="60" t="s">
        <v>19</v>
      </c>
      <c r="F52" s="53"/>
      <c r="G52" s="55"/>
      <c r="H52" s="56" t="s">
        <v>12</v>
      </c>
      <c r="I52" s="57"/>
      <c r="J52" s="57"/>
      <c r="K52" s="58"/>
      <c r="L52" s="59">
        <f ca="1">IFERROR(__xludf.DUMMYFUNCTION("IMPORTRANGE(""https://docs.google.com/spreadsheets/d/1yhBcrRPreicbMKl9Bu_Snb2-OcQAF62RKfhTLhJ2eAA/edit?usp=sharing"",""กาฬสินธุ์!L52"")+IMPORTRANGE(""https://docs.google.com/spreadsheets/d/1aHkj4IaQMThhwWwevcOymEh837vdxeC_PycurhTbGFA/edit?usp=sharing"","""&amp;"ขอนแก่น!L52"")+IMPORTRANGE(""https://docs.google.com/spreadsheets/d/1FvTu2DsIWUjP6WCWra38Bkj_oOl_sOMf14r5Fg5srxU/edit?usp=sharing"",""ชัยภูมิ!L52"")+IMPORTRANGE(""https://docs.google.com/spreadsheets/d/1XVB7oCJ3pr-vBUdflwPQ8Z2LlzhnCvZaaYjAfP-647E/edit?usp"&amp;"=sharing"",""นครพนม!L52"")+IMPORTRANGE(""https://docs.google.com/spreadsheets/d/1Mnpb-8PYAgn85W6KOTD40hc_Xc55CaLfHoGAbrZ8tls/edit?usp=sharing"",""นครราชสีมา!L52"")+IMPORTRANGE(""https://docs.google.com/spreadsheets/d/1xoDLGBv9CYbyosIhki0kTq6IpYNj-gpjxfobn"&amp;"aDiut0/edit?usp=sharing"",""บึงกาฬ!L52"")+IMPORTRANGE(""https://docs.google.com/spreadsheets/d/1MMPq-JyI6DSgQETxuSiXkesP-P7JHuemnE6QJIa-Nlw/edit?usp=sharing"",""บุรีรัมย์!L52"")+IMPORTRANGE(""https://docs.google.com/spreadsheets/d/1l6IZ8xUPgMrESzcTYwhA1k_"&amp;"tPjeQjJPTqlm8Gd9eU5g/edit?usp=sharing"",""มหาสารคาม!L52"")+IMPORTRANGE(""https://docs.google.com/spreadsheets/d/1uB74YLqNjWX6FObjekfB2NtSYigTQyR2rq9u4Ub2Sq4/edit?usp=sharing"",""มุกดาหาร!L52"")+IMPORTRANGE(""https://docs.google.com/spreadsheets/d/1NexK3ge"&amp;"CPxCTO1fzNF8dPec7yZyUx3OaWkFBC9HsQOo/edit?usp=sharing"",""ยโสธร!L52"")+IMPORTRANGE(""https://docs.google.com/spreadsheets/d/1v_cJrbBlyqmnHPReHk44g9NrMRdENNlSy_E_c5M9fIg/edit?usp=sharing"",""ร้อยเอ็ด!L52"")+IMPORTRANGE(""https://docs.google.com/spreadsheet"&amp;"s/d/1Ul4RCpCX66NxYADU1QpwAPjOmBzW64SsT11s1wzXw_c/edit?usp=sharing"",""เลย!L52"")+IMPORTRANGE(""https://docs.google.com/spreadsheets/d/1bRrNKwbHDVktQG10isr5vbWRtt5spIZPpkOSWgbT5ug/edit?usp=sharing"",""ศรีสะเกษ!L52"")+IMPORTRANGE(""https://docs.google.com/s"&amp;"preadsheets/d/17P34_Ow5kFBfdQD0qspb2UuPX5zpi6WMrQzslghyvrI/edit?usp=sharing"",""สกลนคร!L52"")+IMPORTRANGE(""https://docs.google.com/spreadsheets/d/1yswqbM3-AEpThF3ZSUa1AcmHnmRTF1vlJ1CZGcJ8YuU/edit?usp=sharing"",""สุรินทร์!L52"")+IMPORTRANGE(""https://docs"&amp;".google.com/spreadsheets/d/13JHU_EFbsQOUQ0JSQ3dWy1VTRosIWcDq6Nc99z2qzdc/edit?usp=sharing"",""หนองคาย!L52"")+IMPORTRANGE(""https://docs.google.com/spreadsheets/d/1Hx73zIEgVdDZZaYSTc46Dqv64atFhpr3GelxLbaIN8A/edit?usp=sharing"",""หนองบัวลำภู!L52"")+IMPORTRAN"&amp;"GE(""https://docs.google.com/spreadsheets/d/1lFxr3ctmjFN90yc-xV6jrQ9Ty8BKYVBWnAZ15wcNIJc/edit?usp=sharing"",""อำนาจเจริญ!L52"")+IMPORTRANGE(""https://docs.google.com/spreadsheets/d/1gF7RJpRnL-1oyjyeWxs5SFWEH7y8ahOZsQlyp2A2e-A/edit?usp=sharing"",""อุดรธานี"&amp;"!L52"")+IMPORTRANGE(""https://docs.google.com/spreadsheets/d/1kfLP0j3INXRa8bTDpcEmoWewMBV61jlFlfzczfjWIgc/edit?usp=sharing"",""อุบลราชธานี!L52"")"),0)</f>
        <v>0</v>
      </c>
      <c r="M52" s="59">
        <f ca="1">IFERROR(__xludf.DUMMYFUNCTION("IMPORTRANGE(""https://docs.google.com/spreadsheets/d/1yhBcrRPreicbMKl9Bu_Snb2-OcQAF62RKfhTLhJ2eAA/edit?usp=sharing"",""กาฬสินธุ์!M52"")+IMPORTRANGE(""https://docs.google.com/spreadsheets/d/1aHkj4IaQMThhwWwevcOymEh837vdxeC_PycurhTbGFA/edit?usp=sharing"","""&amp;"ขอนแก่น!M52"")+IMPORTRANGE(""https://docs.google.com/spreadsheets/d/1FvTu2DsIWUjP6WCWra38Bkj_oOl_sOMf14r5Fg5srxU/edit?usp=sharing"",""ชัยภูมิ!M52"")+IMPORTRANGE(""https://docs.google.com/spreadsheets/d/1XVB7oCJ3pr-vBUdflwPQ8Z2LlzhnCvZaaYjAfP-647E/edit?usp"&amp;"=sharing"",""นครพนม!M52"")+IMPORTRANGE(""https://docs.google.com/spreadsheets/d/1Mnpb-8PYAgn85W6KOTD40hc_Xc55CaLfHoGAbrZ8tls/edit?usp=sharing"",""นครราชสีมา!M52"")+IMPORTRANGE(""https://docs.google.com/spreadsheets/d/1xoDLGBv9CYbyosIhki0kTq6IpYNj-gpjxfobn"&amp;"aDiut0/edit?usp=sharing"",""บึงกาฬ!M52"")+IMPORTRANGE(""https://docs.google.com/spreadsheets/d/1MMPq-JyI6DSgQETxuSiXkesP-P7JHuemnE6QJIa-Nlw/edit?usp=sharing"",""บุรีรัมย์!M52"")+IMPORTRANGE(""https://docs.google.com/spreadsheets/d/1l6IZ8xUPgMrESzcTYwhA1k_"&amp;"tPjeQjJPTqlm8Gd9eU5g/edit?usp=sharing"",""มหาสารคาม!M52"")+IMPORTRANGE(""https://docs.google.com/spreadsheets/d/1uB74YLqNjWX6FObjekfB2NtSYigTQyR2rq9u4Ub2Sq4/edit?usp=sharing"",""มุกดาหาร!M52"")+IMPORTRANGE(""https://docs.google.com/spreadsheets/d/1NexK3ge"&amp;"CPxCTO1fzNF8dPec7yZyUx3OaWkFBC9HsQOo/edit?usp=sharing"",""ยโสธร!M52"")+IMPORTRANGE(""https://docs.google.com/spreadsheets/d/1v_cJrbBlyqmnHPReHk44g9NrMRdENNlSy_E_c5M9fIg/edit?usp=sharing"",""ร้อยเอ็ด!M52"")+IMPORTRANGE(""https://docs.google.com/spreadsheet"&amp;"s/d/1Ul4RCpCX66NxYADU1QpwAPjOmBzW64SsT11s1wzXw_c/edit?usp=sharing"",""เลย!M52"")+IMPORTRANGE(""https://docs.google.com/spreadsheets/d/1bRrNKwbHDVktQG10isr5vbWRtt5spIZPpkOSWgbT5ug/edit?usp=sharing"",""ศรีสะเกษ!M52"")+IMPORTRANGE(""https://docs.google.com/s"&amp;"preadsheets/d/17P34_Ow5kFBfdQD0qspb2UuPX5zpi6WMrQzslghyvrI/edit?usp=sharing"",""สกลนคร!M52"")+IMPORTRANGE(""https://docs.google.com/spreadsheets/d/1yswqbM3-AEpThF3ZSUa1AcmHnmRTF1vlJ1CZGcJ8YuU/edit?usp=sharing"",""สุรินทร์!M52"")+IMPORTRANGE(""https://docs"&amp;".google.com/spreadsheets/d/13JHU_EFbsQOUQ0JSQ3dWy1VTRosIWcDq6Nc99z2qzdc/edit?usp=sharing"",""หนองคาย!M52"")+IMPORTRANGE(""https://docs.google.com/spreadsheets/d/1Hx73zIEgVdDZZaYSTc46Dqv64atFhpr3GelxLbaIN8A/edit?usp=sharing"",""หนองบัวลำภู!M52"")+IMPORTRAN"&amp;"GE(""https://docs.google.com/spreadsheets/d/1lFxr3ctmjFN90yc-xV6jrQ9Ty8BKYVBWnAZ15wcNIJc/edit?usp=sharing"",""อำนาจเจริญ!M52"")+IMPORTRANGE(""https://docs.google.com/spreadsheets/d/1gF7RJpRnL-1oyjyeWxs5SFWEH7y8ahOZsQlyp2A2e-A/edit?usp=sharing"",""อุดรธานี"&amp;"!M52"")+IMPORTRANGE(""https://docs.google.com/spreadsheets/d/1kfLP0j3INXRa8bTDpcEmoWewMBV61jlFlfzczfjWIgc/edit?usp=sharing"",""อุบลราชธานี!M52"")"),0)</f>
        <v>0</v>
      </c>
      <c r="N52" s="59">
        <f ca="1">IFERROR(__xludf.DUMMYFUNCTION("IMPORTRANGE(""https://docs.google.com/spreadsheets/d/1yhBcrRPreicbMKl9Bu_Snb2-OcQAF62RKfhTLhJ2eAA/edit?usp=sharing"",""กาฬสินธุ์!N52"")+IMPORTRANGE(""https://docs.google.com/spreadsheets/d/1aHkj4IaQMThhwWwevcOymEh837vdxeC_PycurhTbGFA/edit?usp=sharing"","""&amp;"ขอนแก่น!N52"")+IMPORTRANGE(""https://docs.google.com/spreadsheets/d/1FvTu2DsIWUjP6WCWra38Bkj_oOl_sOMf14r5Fg5srxU/edit?usp=sharing"",""ชัยภูมิ!N52"")+IMPORTRANGE(""https://docs.google.com/spreadsheets/d/1XVB7oCJ3pr-vBUdflwPQ8Z2LlzhnCvZaaYjAfP-647E/edit?usp"&amp;"=sharing"",""นครพนม!N52"")+IMPORTRANGE(""https://docs.google.com/spreadsheets/d/1Mnpb-8PYAgn85W6KOTD40hc_Xc55CaLfHoGAbrZ8tls/edit?usp=sharing"",""นครราชสีมา!N52"")+IMPORTRANGE(""https://docs.google.com/spreadsheets/d/1xoDLGBv9CYbyosIhki0kTq6IpYNj-gpjxfobn"&amp;"aDiut0/edit?usp=sharing"",""บึงกาฬ!N52"")+IMPORTRANGE(""https://docs.google.com/spreadsheets/d/1MMPq-JyI6DSgQETxuSiXkesP-P7JHuemnE6QJIa-Nlw/edit?usp=sharing"",""บุรีรัมย์!N52"")+IMPORTRANGE(""https://docs.google.com/spreadsheets/d/1l6IZ8xUPgMrESzcTYwhA1k_"&amp;"tPjeQjJPTqlm8Gd9eU5g/edit?usp=sharing"",""มหาสารคาม!N52"")+IMPORTRANGE(""https://docs.google.com/spreadsheets/d/1uB74YLqNjWX6FObjekfB2NtSYigTQyR2rq9u4Ub2Sq4/edit?usp=sharing"",""มุกดาหาร!N52"")+IMPORTRANGE(""https://docs.google.com/spreadsheets/d/1NexK3ge"&amp;"CPxCTO1fzNF8dPec7yZyUx3OaWkFBC9HsQOo/edit?usp=sharing"",""ยโสธร!N52"")+IMPORTRANGE(""https://docs.google.com/spreadsheets/d/1v_cJrbBlyqmnHPReHk44g9NrMRdENNlSy_E_c5M9fIg/edit?usp=sharing"",""ร้อยเอ็ด!N52"")+IMPORTRANGE(""https://docs.google.com/spreadsheet"&amp;"s/d/1Ul4RCpCX66NxYADU1QpwAPjOmBzW64SsT11s1wzXw_c/edit?usp=sharing"",""เลย!N52"")+IMPORTRANGE(""https://docs.google.com/spreadsheets/d/1bRrNKwbHDVktQG10isr5vbWRtt5spIZPpkOSWgbT5ug/edit?usp=sharing"",""ศรีสะเกษ!N52"")+IMPORTRANGE(""https://docs.google.com/s"&amp;"preadsheets/d/17P34_Ow5kFBfdQD0qspb2UuPX5zpi6WMrQzslghyvrI/edit?usp=sharing"",""สกลนคร!N52"")+IMPORTRANGE(""https://docs.google.com/spreadsheets/d/1yswqbM3-AEpThF3ZSUa1AcmHnmRTF1vlJ1CZGcJ8YuU/edit?usp=sharing"",""สุรินทร์!N52"")+IMPORTRANGE(""https://docs"&amp;".google.com/spreadsheets/d/13JHU_EFbsQOUQ0JSQ3dWy1VTRosIWcDq6Nc99z2qzdc/edit?usp=sharing"",""หนองคาย!N52"")+IMPORTRANGE(""https://docs.google.com/spreadsheets/d/1Hx73zIEgVdDZZaYSTc46Dqv64atFhpr3GelxLbaIN8A/edit?usp=sharing"",""หนองบัวลำภู!N52"")+IMPORTRAN"&amp;"GE(""https://docs.google.com/spreadsheets/d/1lFxr3ctmjFN90yc-xV6jrQ9Ty8BKYVBWnAZ15wcNIJc/edit?usp=sharing"",""อำนาจเจริญ!N52"")+IMPORTRANGE(""https://docs.google.com/spreadsheets/d/1gF7RJpRnL-1oyjyeWxs5SFWEH7y8ahOZsQlyp2A2e-A/edit?usp=sharing"",""อุดรธานี"&amp;"!N52"")+IMPORTRANGE(""https://docs.google.com/spreadsheets/d/1kfLP0j3INXRa8bTDpcEmoWewMBV61jlFlfzczfjWIgc/edit?usp=sharing"",""อุบลราชธานี!N52"")"),0)</f>
        <v>0</v>
      </c>
      <c r="O52" s="59">
        <f t="shared" ca="1" si="16"/>
        <v>0</v>
      </c>
      <c r="P52" s="59">
        <f t="shared" ca="1" si="17"/>
        <v>0</v>
      </c>
    </row>
    <row r="53" spans="1:16" ht="18.75" x14ac:dyDescent="0.25">
      <c r="A53" s="62"/>
      <c r="B53" s="63"/>
      <c r="C53" s="63"/>
      <c r="D53" s="64" t="s">
        <v>22</v>
      </c>
      <c r="E53" s="63"/>
      <c r="F53" s="63"/>
      <c r="G53" s="65"/>
      <c r="H53" s="66" t="s">
        <v>12</v>
      </c>
      <c r="I53" s="67"/>
      <c r="J53" s="67"/>
      <c r="K53" s="68"/>
      <c r="L53" s="69">
        <f t="shared" ref="L53:N53" ca="1" si="22">L54+L55</f>
        <v>0</v>
      </c>
      <c r="M53" s="69">
        <f t="shared" ca="1" si="22"/>
        <v>0</v>
      </c>
      <c r="N53" s="69">
        <f t="shared" ca="1" si="22"/>
        <v>0</v>
      </c>
      <c r="O53" s="69">
        <f t="shared" ca="1" si="16"/>
        <v>0</v>
      </c>
      <c r="P53" s="69">
        <f t="shared" ca="1" si="17"/>
        <v>0</v>
      </c>
    </row>
    <row r="54" spans="1:16" ht="18.75" x14ac:dyDescent="0.25">
      <c r="A54" s="52"/>
      <c r="B54" s="53"/>
      <c r="C54" s="53"/>
      <c r="D54" s="53"/>
      <c r="E54" s="60" t="s">
        <v>18</v>
      </c>
      <c r="F54" s="53"/>
      <c r="G54" s="55"/>
      <c r="H54" s="56" t="s">
        <v>12</v>
      </c>
      <c r="I54" s="57"/>
      <c r="J54" s="57"/>
      <c r="K54" s="58"/>
      <c r="L54" s="59">
        <f ca="1">IFERROR(__xludf.DUMMYFUNCTION("IMPORTRANGE(""https://docs.google.com/spreadsheets/d/1yhBcrRPreicbMKl9Bu_Snb2-OcQAF62RKfhTLhJ2eAA/edit?usp=sharing"",""กาฬสินธุ์!L54"")+IMPORTRANGE(""https://docs.google.com/spreadsheets/d/1aHkj4IaQMThhwWwevcOymEh837vdxeC_PycurhTbGFA/edit?usp=sharing"","""&amp;"ขอนแก่น!L54"")+IMPORTRANGE(""https://docs.google.com/spreadsheets/d/1FvTu2DsIWUjP6WCWra38Bkj_oOl_sOMf14r5Fg5srxU/edit?usp=sharing"",""ชัยภูมิ!L54"")+IMPORTRANGE(""https://docs.google.com/spreadsheets/d/1XVB7oCJ3pr-vBUdflwPQ8Z2LlzhnCvZaaYjAfP-647E/edit?usp"&amp;"=sharing"",""นครพนม!L54"")+IMPORTRANGE(""https://docs.google.com/spreadsheets/d/1Mnpb-8PYAgn85W6KOTD40hc_Xc55CaLfHoGAbrZ8tls/edit?usp=sharing"",""นครราชสีมา!L54"")+IMPORTRANGE(""https://docs.google.com/spreadsheets/d/1xoDLGBv9CYbyosIhki0kTq6IpYNj-gpjxfobn"&amp;"aDiut0/edit?usp=sharing"",""บึงกาฬ!L54"")+IMPORTRANGE(""https://docs.google.com/spreadsheets/d/1MMPq-JyI6DSgQETxuSiXkesP-P7JHuemnE6QJIa-Nlw/edit?usp=sharing"",""บุรีรัมย์!L54"")+IMPORTRANGE(""https://docs.google.com/spreadsheets/d/1l6IZ8xUPgMrESzcTYwhA1k_"&amp;"tPjeQjJPTqlm8Gd9eU5g/edit?usp=sharing"",""มหาสารคาม!L54"")+IMPORTRANGE(""https://docs.google.com/spreadsheets/d/1uB74YLqNjWX6FObjekfB2NtSYigTQyR2rq9u4Ub2Sq4/edit?usp=sharing"",""มุกดาหาร!L54"")+IMPORTRANGE(""https://docs.google.com/spreadsheets/d/1NexK3ge"&amp;"CPxCTO1fzNF8dPec7yZyUx3OaWkFBC9HsQOo/edit?usp=sharing"",""ยโสธร!L54"")+IMPORTRANGE(""https://docs.google.com/spreadsheets/d/1v_cJrbBlyqmnHPReHk44g9NrMRdENNlSy_E_c5M9fIg/edit?usp=sharing"",""ร้อยเอ็ด!L54"")+IMPORTRANGE(""https://docs.google.com/spreadsheet"&amp;"s/d/1Ul4RCpCX66NxYADU1QpwAPjOmBzW64SsT11s1wzXw_c/edit?usp=sharing"",""เลย!L54"")+IMPORTRANGE(""https://docs.google.com/spreadsheets/d/1bRrNKwbHDVktQG10isr5vbWRtt5spIZPpkOSWgbT5ug/edit?usp=sharing"",""ศรีสะเกษ!L54"")+IMPORTRANGE(""https://docs.google.com/s"&amp;"preadsheets/d/17P34_Ow5kFBfdQD0qspb2UuPX5zpi6WMrQzslghyvrI/edit?usp=sharing"",""สกลนคร!L54"")+IMPORTRANGE(""https://docs.google.com/spreadsheets/d/1yswqbM3-AEpThF3ZSUa1AcmHnmRTF1vlJ1CZGcJ8YuU/edit?usp=sharing"",""สุรินทร์!L54"")+IMPORTRANGE(""https://docs"&amp;".google.com/spreadsheets/d/13JHU_EFbsQOUQ0JSQ3dWy1VTRosIWcDq6Nc99z2qzdc/edit?usp=sharing"",""หนองคาย!L54"")+IMPORTRANGE(""https://docs.google.com/spreadsheets/d/1Hx73zIEgVdDZZaYSTc46Dqv64atFhpr3GelxLbaIN8A/edit?usp=sharing"",""หนองบัวลำภู!L54"")+IMPORTRAN"&amp;"GE(""https://docs.google.com/spreadsheets/d/1lFxr3ctmjFN90yc-xV6jrQ9Ty8BKYVBWnAZ15wcNIJc/edit?usp=sharing"",""อำนาจเจริญ!L54"")+IMPORTRANGE(""https://docs.google.com/spreadsheets/d/1gF7RJpRnL-1oyjyeWxs5SFWEH7y8ahOZsQlyp2A2e-A/edit?usp=sharing"",""อุดรธานี"&amp;"!L54"")+IMPORTRANGE(""https://docs.google.com/spreadsheets/d/1kfLP0j3INXRa8bTDpcEmoWewMBV61jlFlfzczfjWIgc/edit?usp=sharing"",""อุบลราชธานี!L54"")"),0)</f>
        <v>0</v>
      </c>
      <c r="M54" s="59">
        <f ca="1">IFERROR(__xludf.DUMMYFUNCTION("IMPORTRANGE(""https://docs.google.com/spreadsheets/d/1yhBcrRPreicbMKl9Bu_Snb2-OcQAF62RKfhTLhJ2eAA/edit?usp=sharing"",""กาฬสินธุ์!M54"")+IMPORTRANGE(""https://docs.google.com/spreadsheets/d/1aHkj4IaQMThhwWwevcOymEh837vdxeC_PycurhTbGFA/edit?usp=sharing"","""&amp;"ขอนแก่น!M54"")+IMPORTRANGE(""https://docs.google.com/spreadsheets/d/1FvTu2DsIWUjP6WCWra38Bkj_oOl_sOMf14r5Fg5srxU/edit?usp=sharing"",""ชัยภูมิ!M54"")+IMPORTRANGE(""https://docs.google.com/spreadsheets/d/1XVB7oCJ3pr-vBUdflwPQ8Z2LlzhnCvZaaYjAfP-647E/edit?usp"&amp;"=sharing"",""นครพนม!M54"")+IMPORTRANGE(""https://docs.google.com/spreadsheets/d/1Mnpb-8PYAgn85W6KOTD40hc_Xc55CaLfHoGAbrZ8tls/edit?usp=sharing"",""นครราชสีมา!M54"")+IMPORTRANGE(""https://docs.google.com/spreadsheets/d/1xoDLGBv9CYbyosIhki0kTq6IpYNj-gpjxfobn"&amp;"aDiut0/edit?usp=sharing"",""บึงกาฬ!M54"")+IMPORTRANGE(""https://docs.google.com/spreadsheets/d/1MMPq-JyI6DSgQETxuSiXkesP-P7JHuemnE6QJIa-Nlw/edit?usp=sharing"",""บุรีรัมย์!M54"")+IMPORTRANGE(""https://docs.google.com/spreadsheets/d/1l6IZ8xUPgMrESzcTYwhA1k_"&amp;"tPjeQjJPTqlm8Gd9eU5g/edit?usp=sharing"",""มหาสารคาม!M54"")+IMPORTRANGE(""https://docs.google.com/spreadsheets/d/1uB74YLqNjWX6FObjekfB2NtSYigTQyR2rq9u4Ub2Sq4/edit?usp=sharing"",""มุกดาหาร!M54"")+IMPORTRANGE(""https://docs.google.com/spreadsheets/d/1NexK3ge"&amp;"CPxCTO1fzNF8dPec7yZyUx3OaWkFBC9HsQOo/edit?usp=sharing"",""ยโสธร!M54"")+IMPORTRANGE(""https://docs.google.com/spreadsheets/d/1v_cJrbBlyqmnHPReHk44g9NrMRdENNlSy_E_c5M9fIg/edit?usp=sharing"",""ร้อยเอ็ด!M54"")+IMPORTRANGE(""https://docs.google.com/spreadsheet"&amp;"s/d/1Ul4RCpCX66NxYADU1QpwAPjOmBzW64SsT11s1wzXw_c/edit?usp=sharing"",""เลย!M54"")+IMPORTRANGE(""https://docs.google.com/spreadsheets/d/1bRrNKwbHDVktQG10isr5vbWRtt5spIZPpkOSWgbT5ug/edit?usp=sharing"",""ศรีสะเกษ!M54"")+IMPORTRANGE(""https://docs.google.com/s"&amp;"preadsheets/d/17P34_Ow5kFBfdQD0qspb2UuPX5zpi6WMrQzslghyvrI/edit?usp=sharing"",""สกลนคร!M54"")+IMPORTRANGE(""https://docs.google.com/spreadsheets/d/1yswqbM3-AEpThF3ZSUa1AcmHnmRTF1vlJ1CZGcJ8YuU/edit?usp=sharing"",""สุรินทร์!M54"")+IMPORTRANGE(""https://docs"&amp;".google.com/spreadsheets/d/13JHU_EFbsQOUQ0JSQ3dWy1VTRosIWcDq6Nc99z2qzdc/edit?usp=sharing"",""หนองคาย!M54"")+IMPORTRANGE(""https://docs.google.com/spreadsheets/d/1Hx73zIEgVdDZZaYSTc46Dqv64atFhpr3GelxLbaIN8A/edit?usp=sharing"",""หนองบัวลำภู!M54"")+IMPORTRAN"&amp;"GE(""https://docs.google.com/spreadsheets/d/1lFxr3ctmjFN90yc-xV6jrQ9Ty8BKYVBWnAZ15wcNIJc/edit?usp=sharing"",""อำนาจเจริญ!M54"")+IMPORTRANGE(""https://docs.google.com/spreadsheets/d/1gF7RJpRnL-1oyjyeWxs5SFWEH7y8ahOZsQlyp2A2e-A/edit?usp=sharing"",""อุดรธานี"&amp;"!M54"")+IMPORTRANGE(""https://docs.google.com/spreadsheets/d/1kfLP0j3INXRa8bTDpcEmoWewMBV61jlFlfzczfjWIgc/edit?usp=sharing"",""อุบลราชธานี!M54"")"),0)</f>
        <v>0</v>
      </c>
      <c r="N54" s="59">
        <f ca="1">IFERROR(__xludf.DUMMYFUNCTION("IMPORTRANGE(""https://docs.google.com/spreadsheets/d/1yhBcrRPreicbMKl9Bu_Snb2-OcQAF62RKfhTLhJ2eAA/edit?usp=sharing"",""กาฬสินธุ์!N54"")+IMPORTRANGE(""https://docs.google.com/spreadsheets/d/1aHkj4IaQMThhwWwevcOymEh837vdxeC_PycurhTbGFA/edit?usp=sharing"","""&amp;"ขอนแก่น!N54"")+IMPORTRANGE(""https://docs.google.com/spreadsheets/d/1FvTu2DsIWUjP6WCWra38Bkj_oOl_sOMf14r5Fg5srxU/edit?usp=sharing"",""ชัยภูมิ!N54"")+IMPORTRANGE(""https://docs.google.com/spreadsheets/d/1XVB7oCJ3pr-vBUdflwPQ8Z2LlzhnCvZaaYjAfP-647E/edit?usp"&amp;"=sharing"",""นครพนม!N54"")+IMPORTRANGE(""https://docs.google.com/spreadsheets/d/1Mnpb-8PYAgn85W6KOTD40hc_Xc55CaLfHoGAbrZ8tls/edit?usp=sharing"",""นครราชสีมา!N54"")+IMPORTRANGE(""https://docs.google.com/spreadsheets/d/1xoDLGBv9CYbyosIhki0kTq6IpYNj-gpjxfobn"&amp;"aDiut0/edit?usp=sharing"",""บึงกาฬ!N54"")+IMPORTRANGE(""https://docs.google.com/spreadsheets/d/1MMPq-JyI6DSgQETxuSiXkesP-P7JHuemnE6QJIa-Nlw/edit?usp=sharing"",""บุรีรัมย์!N54"")+IMPORTRANGE(""https://docs.google.com/spreadsheets/d/1l6IZ8xUPgMrESzcTYwhA1k_"&amp;"tPjeQjJPTqlm8Gd9eU5g/edit?usp=sharing"",""มหาสารคาม!N54"")+IMPORTRANGE(""https://docs.google.com/spreadsheets/d/1uB74YLqNjWX6FObjekfB2NtSYigTQyR2rq9u4Ub2Sq4/edit?usp=sharing"",""มุกดาหาร!N54"")+IMPORTRANGE(""https://docs.google.com/spreadsheets/d/1NexK3ge"&amp;"CPxCTO1fzNF8dPec7yZyUx3OaWkFBC9HsQOo/edit?usp=sharing"",""ยโสธร!N54"")+IMPORTRANGE(""https://docs.google.com/spreadsheets/d/1v_cJrbBlyqmnHPReHk44g9NrMRdENNlSy_E_c5M9fIg/edit?usp=sharing"",""ร้อยเอ็ด!N54"")+IMPORTRANGE(""https://docs.google.com/spreadsheet"&amp;"s/d/1Ul4RCpCX66NxYADU1QpwAPjOmBzW64SsT11s1wzXw_c/edit?usp=sharing"",""เลย!N54"")+IMPORTRANGE(""https://docs.google.com/spreadsheets/d/1bRrNKwbHDVktQG10isr5vbWRtt5spIZPpkOSWgbT5ug/edit?usp=sharing"",""ศรีสะเกษ!N54"")+IMPORTRANGE(""https://docs.google.com/s"&amp;"preadsheets/d/17P34_Ow5kFBfdQD0qspb2UuPX5zpi6WMrQzslghyvrI/edit?usp=sharing"",""สกลนคร!N54"")+IMPORTRANGE(""https://docs.google.com/spreadsheets/d/1yswqbM3-AEpThF3ZSUa1AcmHnmRTF1vlJ1CZGcJ8YuU/edit?usp=sharing"",""สุรินทร์!N54"")+IMPORTRANGE(""https://docs"&amp;".google.com/spreadsheets/d/13JHU_EFbsQOUQ0JSQ3dWy1VTRosIWcDq6Nc99z2qzdc/edit?usp=sharing"",""หนองคาย!N54"")+IMPORTRANGE(""https://docs.google.com/spreadsheets/d/1Hx73zIEgVdDZZaYSTc46Dqv64atFhpr3GelxLbaIN8A/edit?usp=sharing"",""หนองบัวลำภู!N54"")+IMPORTRAN"&amp;"GE(""https://docs.google.com/spreadsheets/d/1lFxr3ctmjFN90yc-xV6jrQ9Ty8BKYVBWnAZ15wcNIJc/edit?usp=sharing"",""อำนาจเจริญ!N54"")+IMPORTRANGE(""https://docs.google.com/spreadsheets/d/1gF7RJpRnL-1oyjyeWxs5SFWEH7y8ahOZsQlyp2A2e-A/edit?usp=sharing"",""อุดรธานี"&amp;"!N54"")+IMPORTRANGE(""https://docs.google.com/spreadsheets/d/1kfLP0j3INXRa8bTDpcEmoWewMBV61jlFlfzczfjWIgc/edit?usp=sharing"",""อุบลราชธานี!N54"")"),0)</f>
        <v>0</v>
      </c>
      <c r="O54" s="59">
        <f t="shared" ca="1" si="16"/>
        <v>0</v>
      </c>
      <c r="P54" s="59">
        <f t="shared" ca="1" si="17"/>
        <v>0</v>
      </c>
    </row>
    <row r="55" spans="1:16" ht="18.75" x14ac:dyDescent="0.25">
      <c r="A55" s="70"/>
      <c r="B55" s="71"/>
      <c r="C55" s="71"/>
      <c r="D55" s="71"/>
      <c r="E55" s="72" t="s">
        <v>19</v>
      </c>
      <c r="F55" s="71"/>
      <c r="G55" s="73"/>
      <c r="H55" s="74" t="s">
        <v>12</v>
      </c>
      <c r="I55" s="75"/>
      <c r="J55" s="75"/>
      <c r="K55" s="76"/>
      <c r="L55" s="77">
        <f ca="1">IFERROR(__xludf.DUMMYFUNCTION("IMPORTRANGE(""https://docs.google.com/spreadsheets/d/1yhBcrRPreicbMKl9Bu_Snb2-OcQAF62RKfhTLhJ2eAA/edit?usp=sharing"",""กาฬสินธุ์!L55"")+IMPORTRANGE(""https://docs.google.com/spreadsheets/d/1aHkj4IaQMThhwWwevcOymEh837vdxeC_PycurhTbGFA/edit?usp=sharing"","""&amp;"ขอนแก่น!L55"")+IMPORTRANGE(""https://docs.google.com/spreadsheets/d/1FvTu2DsIWUjP6WCWra38Bkj_oOl_sOMf14r5Fg5srxU/edit?usp=sharing"",""ชัยภูมิ!L55"")+IMPORTRANGE(""https://docs.google.com/spreadsheets/d/1XVB7oCJ3pr-vBUdflwPQ8Z2LlzhnCvZaaYjAfP-647E/edit?usp"&amp;"=sharing"",""นครพนม!L55"")+IMPORTRANGE(""https://docs.google.com/spreadsheets/d/1Mnpb-8PYAgn85W6KOTD40hc_Xc55CaLfHoGAbrZ8tls/edit?usp=sharing"",""นครราชสีมา!L55"")+IMPORTRANGE(""https://docs.google.com/spreadsheets/d/1xoDLGBv9CYbyosIhki0kTq6IpYNj-gpjxfobn"&amp;"aDiut0/edit?usp=sharing"",""บึงกาฬ!L55"")+IMPORTRANGE(""https://docs.google.com/spreadsheets/d/1MMPq-JyI6DSgQETxuSiXkesP-P7JHuemnE6QJIa-Nlw/edit?usp=sharing"",""บุรีรัมย์!L55"")+IMPORTRANGE(""https://docs.google.com/spreadsheets/d/1l6IZ8xUPgMrESzcTYwhA1k_"&amp;"tPjeQjJPTqlm8Gd9eU5g/edit?usp=sharing"",""มหาสารคาม!L55"")+IMPORTRANGE(""https://docs.google.com/spreadsheets/d/1uB74YLqNjWX6FObjekfB2NtSYigTQyR2rq9u4Ub2Sq4/edit?usp=sharing"",""มุกดาหาร!L55"")+IMPORTRANGE(""https://docs.google.com/spreadsheets/d/1NexK3ge"&amp;"CPxCTO1fzNF8dPec7yZyUx3OaWkFBC9HsQOo/edit?usp=sharing"",""ยโสธร!L55"")+IMPORTRANGE(""https://docs.google.com/spreadsheets/d/1v_cJrbBlyqmnHPReHk44g9NrMRdENNlSy_E_c5M9fIg/edit?usp=sharing"",""ร้อยเอ็ด!L55"")+IMPORTRANGE(""https://docs.google.com/spreadsheet"&amp;"s/d/1Ul4RCpCX66NxYADU1QpwAPjOmBzW64SsT11s1wzXw_c/edit?usp=sharing"",""เลย!L55"")+IMPORTRANGE(""https://docs.google.com/spreadsheets/d/1bRrNKwbHDVktQG10isr5vbWRtt5spIZPpkOSWgbT5ug/edit?usp=sharing"",""ศรีสะเกษ!L55"")+IMPORTRANGE(""https://docs.google.com/s"&amp;"preadsheets/d/17P34_Ow5kFBfdQD0qspb2UuPX5zpi6WMrQzslghyvrI/edit?usp=sharing"",""สกลนคร!L55"")+IMPORTRANGE(""https://docs.google.com/spreadsheets/d/1yswqbM3-AEpThF3ZSUa1AcmHnmRTF1vlJ1CZGcJ8YuU/edit?usp=sharing"",""สุรินทร์!L55"")+IMPORTRANGE(""https://docs"&amp;".google.com/spreadsheets/d/13JHU_EFbsQOUQ0JSQ3dWy1VTRosIWcDq6Nc99z2qzdc/edit?usp=sharing"",""หนองคาย!L55"")+IMPORTRANGE(""https://docs.google.com/spreadsheets/d/1Hx73zIEgVdDZZaYSTc46Dqv64atFhpr3GelxLbaIN8A/edit?usp=sharing"",""หนองบัวลำภู!L55"")+IMPORTRAN"&amp;"GE(""https://docs.google.com/spreadsheets/d/1lFxr3ctmjFN90yc-xV6jrQ9Ty8BKYVBWnAZ15wcNIJc/edit?usp=sharing"",""อำนาจเจริญ!L55"")+IMPORTRANGE(""https://docs.google.com/spreadsheets/d/1gF7RJpRnL-1oyjyeWxs5SFWEH7y8ahOZsQlyp2A2e-A/edit?usp=sharing"",""อุดรธานี"&amp;"!L55"")+IMPORTRANGE(""https://docs.google.com/spreadsheets/d/1kfLP0j3INXRa8bTDpcEmoWewMBV61jlFlfzczfjWIgc/edit?usp=sharing"",""อุบลราชธานี!L55"")"),0)</f>
        <v>0</v>
      </c>
      <c r="M55" s="77">
        <f ca="1">IFERROR(__xludf.DUMMYFUNCTION("IMPORTRANGE(""https://docs.google.com/spreadsheets/d/1yhBcrRPreicbMKl9Bu_Snb2-OcQAF62RKfhTLhJ2eAA/edit?usp=sharing"",""กาฬสินธุ์!M55"")+IMPORTRANGE(""https://docs.google.com/spreadsheets/d/1aHkj4IaQMThhwWwevcOymEh837vdxeC_PycurhTbGFA/edit?usp=sharing"","""&amp;"ขอนแก่น!M55"")+IMPORTRANGE(""https://docs.google.com/spreadsheets/d/1FvTu2DsIWUjP6WCWra38Bkj_oOl_sOMf14r5Fg5srxU/edit?usp=sharing"",""ชัยภูมิ!M55"")+IMPORTRANGE(""https://docs.google.com/spreadsheets/d/1XVB7oCJ3pr-vBUdflwPQ8Z2LlzhnCvZaaYjAfP-647E/edit?usp"&amp;"=sharing"",""นครพนม!M55"")+IMPORTRANGE(""https://docs.google.com/spreadsheets/d/1Mnpb-8PYAgn85W6KOTD40hc_Xc55CaLfHoGAbrZ8tls/edit?usp=sharing"",""นครราชสีมา!M55"")+IMPORTRANGE(""https://docs.google.com/spreadsheets/d/1xoDLGBv9CYbyosIhki0kTq6IpYNj-gpjxfobn"&amp;"aDiut0/edit?usp=sharing"",""บึงกาฬ!M55"")+IMPORTRANGE(""https://docs.google.com/spreadsheets/d/1MMPq-JyI6DSgQETxuSiXkesP-P7JHuemnE6QJIa-Nlw/edit?usp=sharing"",""บุรีรัมย์!M55"")+IMPORTRANGE(""https://docs.google.com/spreadsheets/d/1l6IZ8xUPgMrESzcTYwhA1k_"&amp;"tPjeQjJPTqlm8Gd9eU5g/edit?usp=sharing"",""มหาสารคาม!M55"")+IMPORTRANGE(""https://docs.google.com/spreadsheets/d/1uB74YLqNjWX6FObjekfB2NtSYigTQyR2rq9u4Ub2Sq4/edit?usp=sharing"",""มุกดาหาร!M55"")+IMPORTRANGE(""https://docs.google.com/spreadsheets/d/1NexK3ge"&amp;"CPxCTO1fzNF8dPec7yZyUx3OaWkFBC9HsQOo/edit?usp=sharing"",""ยโสธร!M55"")+IMPORTRANGE(""https://docs.google.com/spreadsheets/d/1v_cJrbBlyqmnHPReHk44g9NrMRdENNlSy_E_c5M9fIg/edit?usp=sharing"",""ร้อยเอ็ด!M55"")+IMPORTRANGE(""https://docs.google.com/spreadsheet"&amp;"s/d/1Ul4RCpCX66NxYADU1QpwAPjOmBzW64SsT11s1wzXw_c/edit?usp=sharing"",""เลย!M55"")+IMPORTRANGE(""https://docs.google.com/spreadsheets/d/1bRrNKwbHDVktQG10isr5vbWRtt5spIZPpkOSWgbT5ug/edit?usp=sharing"",""ศรีสะเกษ!M55"")+IMPORTRANGE(""https://docs.google.com/s"&amp;"preadsheets/d/17P34_Ow5kFBfdQD0qspb2UuPX5zpi6WMrQzslghyvrI/edit?usp=sharing"",""สกลนคร!M55"")+IMPORTRANGE(""https://docs.google.com/spreadsheets/d/1yswqbM3-AEpThF3ZSUa1AcmHnmRTF1vlJ1CZGcJ8YuU/edit?usp=sharing"",""สุรินทร์!M55"")+IMPORTRANGE(""https://docs"&amp;".google.com/spreadsheets/d/13JHU_EFbsQOUQ0JSQ3dWy1VTRosIWcDq6Nc99z2qzdc/edit?usp=sharing"",""หนองคาย!M55"")+IMPORTRANGE(""https://docs.google.com/spreadsheets/d/1Hx73zIEgVdDZZaYSTc46Dqv64atFhpr3GelxLbaIN8A/edit?usp=sharing"",""หนองบัวลำภู!M55"")+IMPORTRAN"&amp;"GE(""https://docs.google.com/spreadsheets/d/1lFxr3ctmjFN90yc-xV6jrQ9Ty8BKYVBWnAZ15wcNIJc/edit?usp=sharing"",""อำนาจเจริญ!M55"")+IMPORTRANGE(""https://docs.google.com/spreadsheets/d/1gF7RJpRnL-1oyjyeWxs5SFWEH7y8ahOZsQlyp2A2e-A/edit?usp=sharing"",""อุดรธานี"&amp;"!M55"")+IMPORTRANGE(""https://docs.google.com/spreadsheets/d/1kfLP0j3INXRa8bTDpcEmoWewMBV61jlFlfzczfjWIgc/edit?usp=sharing"",""อุบลราชธานี!M55"")"),0)</f>
        <v>0</v>
      </c>
      <c r="N55" s="77">
        <f ca="1">IFERROR(__xludf.DUMMYFUNCTION("IMPORTRANGE(""https://docs.google.com/spreadsheets/d/1yhBcrRPreicbMKl9Bu_Snb2-OcQAF62RKfhTLhJ2eAA/edit?usp=sharing"",""กาฬสินธุ์!N55"")+IMPORTRANGE(""https://docs.google.com/spreadsheets/d/1aHkj4IaQMThhwWwevcOymEh837vdxeC_PycurhTbGFA/edit?usp=sharing"","""&amp;"ขอนแก่น!N55"")+IMPORTRANGE(""https://docs.google.com/spreadsheets/d/1FvTu2DsIWUjP6WCWra38Bkj_oOl_sOMf14r5Fg5srxU/edit?usp=sharing"",""ชัยภูมิ!N55"")+IMPORTRANGE(""https://docs.google.com/spreadsheets/d/1XVB7oCJ3pr-vBUdflwPQ8Z2LlzhnCvZaaYjAfP-647E/edit?usp"&amp;"=sharing"",""นครพนม!N55"")+IMPORTRANGE(""https://docs.google.com/spreadsheets/d/1Mnpb-8PYAgn85W6KOTD40hc_Xc55CaLfHoGAbrZ8tls/edit?usp=sharing"",""นครราชสีมา!N55"")+IMPORTRANGE(""https://docs.google.com/spreadsheets/d/1xoDLGBv9CYbyosIhki0kTq6IpYNj-gpjxfobn"&amp;"aDiut0/edit?usp=sharing"",""บึงกาฬ!N55"")+IMPORTRANGE(""https://docs.google.com/spreadsheets/d/1MMPq-JyI6DSgQETxuSiXkesP-P7JHuemnE6QJIa-Nlw/edit?usp=sharing"",""บุรีรัมย์!N55"")+IMPORTRANGE(""https://docs.google.com/spreadsheets/d/1l6IZ8xUPgMrESzcTYwhA1k_"&amp;"tPjeQjJPTqlm8Gd9eU5g/edit?usp=sharing"",""มหาสารคาม!N55"")+IMPORTRANGE(""https://docs.google.com/spreadsheets/d/1uB74YLqNjWX6FObjekfB2NtSYigTQyR2rq9u4Ub2Sq4/edit?usp=sharing"",""มุกดาหาร!N55"")+IMPORTRANGE(""https://docs.google.com/spreadsheets/d/1NexK3ge"&amp;"CPxCTO1fzNF8dPec7yZyUx3OaWkFBC9HsQOo/edit?usp=sharing"",""ยโสธร!N55"")+IMPORTRANGE(""https://docs.google.com/spreadsheets/d/1v_cJrbBlyqmnHPReHk44g9NrMRdENNlSy_E_c5M9fIg/edit?usp=sharing"",""ร้อยเอ็ด!N55"")+IMPORTRANGE(""https://docs.google.com/spreadsheet"&amp;"s/d/1Ul4RCpCX66NxYADU1QpwAPjOmBzW64SsT11s1wzXw_c/edit?usp=sharing"",""เลย!N55"")+IMPORTRANGE(""https://docs.google.com/spreadsheets/d/1bRrNKwbHDVktQG10isr5vbWRtt5spIZPpkOSWgbT5ug/edit?usp=sharing"",""ศรีสะเกษ!N55"")+IMPORTRANGE(""https://docs.google.com/s"&amp;"preadsheets/d/17P34_Ow5kFBfdQD0qspb2UuPX5zpi6WMrQzslghyvrI/edit?usp=sharing"",""สกลนคร!N55"")+IMPORTRANGE(""https://docs.google.com/spreadsheets/d/1yswqbM3-AEpThF3ZSUa1AcmHnmRTF1vlJ1CZGcJ8YuU/edit?usp=sharing"",""สุรินทร์!N55"")+IMPORTRANGE(""https://docs"&amp;".google.com/spreadsheets/d/13JHU_EFbsQOUQ0JSQ3dWy1VTRosIWcDq6Nc99z2qzdc/edit?usp=sharing"",""หนองคาย!N55"")+IMPORTRANGE(""https://docs.google.com/spreadsheets/d/1Hx73zIEgVdDZZaYSTc46Dqv64atFhpr3GelxLbaIN8A/edit?usp=sharing"",""หนองบัวลำภู!N55"")+IMPORTRAN"&amp;"GE(""https://docs.google.com/spreadsheets/d/1lFxr3ctmjFN90yc-xV6jrQ9Ty8BKYVBWnAZ15wcNIJc/edit?usp=sharing"",""อำนาจเจริญ!N55"")+IMPORTRANGE(""https://docs.google.com/spreadsheets/d/1gF7RJpRnL-1oyjyeWxs5SFWEH7y8ahOZsQlyp2A2e-A/edit?usp=sharing"",""อุดรธานี"&amp;"!N55"")+IMPORTRANGE(""https://docs.google.com/spreadsheets/d/1kfLP0j3INXRa8bTDpcEmoWewMBV61jlFlfzczfjWIgc/edit?usp=sharing"",""อุบลราชธานี!N55"")"),0)</f>
        <v>0</v>
      </c>
      <c r="O55" s="77">
        <f t="shared" ca="1" si="16"/>
        <v>0</v>
      </c>
      <c r="P55" s="77">
        <f t="shared" ca="1" si="17"/>
        <v>0</v>
      </c>
    </row>
    <row r="56" spans="1:16" ht="19.5" x14ac:dyDescent="0.3">
      <c r="A56" s="495" t="s">
        <v>26</v>
      </c>
      <c r="B56" s="489"/>
      <c r="C56" s="489"/>
      <c r="D56" s="489"/>
      <c r="E56" s="489"/>
      <c r="F56" s="489"/>
      <c r="G56" s="489"/>
      <c r="H56" s="107"/>
      <c r="I56" s="108"/>
      <c r="J56" s="108"/>
      <c r="K56" s="109"/>
      <c r="L56" s="109"/>
      <c r="M56" s="109"/>
      <c r="N56" s="109"/>
      <c r="O56" s="109"/>
      <c r="P56" s="110"/>
    </row>
    <row r="57" spans="1:16" ht="19.5" x14ac:dyDescent="0.3">
      <c r="A57" s="111"/>
      <c r="B57" s="496" t="s">
        <v>27</v>
      </c>
      <c r="C57" s="497"/>
      <c r="D57" s="497"/>
      <c r="E57" s="497"/>
      <c r="F57" s="497"/>
      <c r="G57" s="498"/>
      <c r="H57" s="112"/>
      <c r="I57" s="113"/>
      <c r="J57" s="113"/>
      <c r="K57" s="114"/>
      <c r="L57" s="114"/>
      <c r="M57" s="114"/>
      <c r="N57" s="114"/>
      <c r="O57" s="114"/>
      <c r="P57" s="114"/>
    </row>
    <row r="58" spans="1:16" ht="19.5" x14ac:dyDescent="0.3">
      <c r="A58" s="115"/>
      <c r="B58" s="116" t="s">
        <v>28</v>
      </c>
      <c r="C58" s="117"/>
      <c r="D58" s="117"/>
      <c r="E58" s="117"/>
      <c r="F58" s="117"/>
      <c r="G58" s="118"/>
      <c r="H58" s="118"/>
      <c r="I58" s="119"/>
      <c r="J58" s="119"/>
      <c r="K58" s="120"/>
      <c r="L58" s="120"/>
      <c r="M58" s="120"/>
      <c r="N58" s="120"/>
      <c r="O58" s="120"/>
      <c r="P58" s="120"/>
    </row>
    <row r="59" spans="1:16" ht="19.5" x14ac:dyDescent="0.3">
      <c r="A59" s="121"/>
      <c r="B59" s="122"/>
      <c r="C59" s="123" t="s">
        <v>16</v>
      </c>
      <c r="D59" s="124" t="s">
        <v>17</v>
      </c>
      <c r="E59" s="122"/>
      <c r="F59" s="122"/>
      <c r="G59" s="125"/>
      <c r="H59" s="126" t="s">
        <v>12</v>
      </c>
      <c r="I59" s="127"/>
      <c r="J59" s="127"/>
      <c r="K59" s="128"/>
      <c r="L59" s="129">
        <f t="shared" ref="L59:N59" ca="1" si="23">L60+L61</f>
        <v>10796200</v>
      </c>
      <c r="M59" s="129">
        <f t="shared" ca="1" si="23"/>
        <v>8262130</v>
      </c>
      <c r="N59" s="129">
        <f t="shared" ca="1" si="23"/>
        <v>4960890.3999999901</v>
      </c>
      <c r="O59" s="129">
        <f t="shared" ref="O59:O67" ca="1" si="24">IF(L59&gt;0,N59*100/L59,0)</f>
        <v>45.950338081917621</v>
      </c>
      <c r="P59" s="129">
        <f t="shared" ref="P59:P67" ca="1" si="25">IF(M59&gt;0,N59*100/M59,0)</f>
        <v>60.04372238151651</v>
      </c>
    </row>
    <row r="60" spans="1:16" ht="18.75" x14ac:dyDescent="0.25">
      <c r="A60" s="121"/>
      <c r="B60" s="122"/>
      <c r="C60" s="122"/>
      <c r="D60" s="122"/>
      <c r="E60" s="130" t="s">
        <v>18</v>
      </c>
      <c r="F60" s="122"/>
      <c r="G60" s="125"/>
      <c r="H60" s="131" t="s">
        <v>12</v>
      </c>
      <c r="I60" s="127"/>
      <c r="J60" s="127"/>
      <c r="K60" s="128"/>
      <c r="L60" s="132">
        <f t="shared" ref="L60:N60" ca="1" si="26">L63+L66</f>
        <v>0</v>
      </c>
      <c r="M60" s="132">
        <f t="shared" ca="1" si="26"/>
        <v>0</v>
      </c>
      <c r="N60" s="132">
        <f t="shared" ca="1" si="26"/>
        <v>0</v>
      </c>
      <c r="O60" s="132">
        <f t="shared" ca="1" si="24"/>
        <v>0</v>
      </c>
      <c r="P60" s="132">
        <f t="shared" ca="1" si="25"/>
        <v>0</v>
      </c>
    </row>
    <row r="61" spans="1:16" ht="18.75" x14ac:dyDescent="0.25">
      <c r="A61" s="121"/>
      <c r="B61" s="122"/>
      <c r="C61" s="122"/>
      <c r="D61" s="122"/>
      <c r="E61" s="130" t="s">
        <v>19</v>
      </c>
      <c r="F61" s="122"/>
      <c r="G61" s="125"/>
      <c r="H61" s="131" t="s">
        <v>12</v>
      </c>
      <c r="I61" s="127"/>
      <c r="J61" s="127"/>
      <c r="K61" s="128"/>
      <c r="L61" s="132">
        <f t="shared" ref="L61:N61" ca="1" si="27">L64+L67</f>
        <v>10796200</v>
      </c>
      <c r="M61" s="132">
        <f t="shared" ca="1" si="27"/>
        <v>8262130</v>
      </c>
      <c r="N61" s="132">
        <f t="shared" ca="1" si="27"/>
        <v>4960890.3999999901</v>
      </c>
      <c r="O61" s="132">
        <f t="shared" ca="1" si="24"/>
        <v>45.950338081917621</v>
      </c>
      <c r="P61" s="132">
        <f t="shared" ca="1" si="25"/>
        <v>60.04372238151651</v>
      </c>
    </row>
    <row r="62" spans="1:16" ht="18.75" x14ac:dyDescent="0.25">
      <c r="A62" s="52"/>
      <c r="B62" s="53"/>
      <c r="C62" s="53"/>
      <c r="D62" s="54" t="s">
        <v>20</v>
      </c>
      <c r="E62" s="53"/>
      <c r="F62" s="53"/>
      <c r="G62" s="55"/>
      <c r="H62" s="56" t="s">
        <v>12</v>
      </c>
      <c r="I62" s="57"/>
      <c r="J62" s="57"/>
      <c r="K62" s="58"/>
      <c r="L62" s="59">
        <f t="shared" ref="L62:N62" ca="1" si="28">L63+L64</f>
        <v>10796200</v>
      </c>
      <c r="M62" s="59">
        <f t="shared" ca="1" si="28"/>
        <v>8262130</v>
      </c>
      <c r="N62" s="59">
        <f t="shared" ca="1" si="28"/>
        <v>4960890.3999999901</v>
      </c>
      <c r="O62" s="59">
        <f t="shared" ca="1" si="24"/>
        <v>45.950338081917621</v>
      </c>
      <c r="P62" s="59">
        <f t="shared" ca="1" si="25"/>
        <v>60.04372238151651</v>
      </c>
    </row>
    <row r="63" spans="1:16" ht="18.75" x14ac:dyDescent="0.25">
      <c r="A63" s="52"/>
      <c r="B63" s="53"/>
      <c r="C63" s="53"/>
      <c r="D63" s="53"/>
      <c r="E63" s="60" t="s">
        <v>18</v>
      </c>
      <c r="F63" s="53"/>
      <c r="G63" s="55"/>
      <c r="H63" s="56" t="s">
        <v>12</v>
      </c>
      <c r="I63" s="57"/>
      <c r="J63" s="57"/>
      <c r="K63" s="58"/>
      <c r="L63" s="59">
        <f ca="1">IFERROR(__xludf.DUMMYFUNCTION("IMPORTRANGE(""https://docs.google.com/spreadsheets/d/1yhBcrRPreicbMKl9Bu_Snb2-OcQAF62RKfhTLhJ2eAA/edit?usp=sharing"",""กาฬสินธุ์!L63"")+IMPORTRANGE(""https://docs.google.com/spreadsheets/d/1aHkj4IaQMThhwWwevcOymEh837vdxeC_PycurhTbGFA/edit?usp=sharing"","""&amp;"ขอนแก่น!L63"")+IMPORTRANGE(""https://docs.google.com/spreadsheets/d/1FvTu2DsIWUjP6WCWra38Bkj_oOl_sOMf14r5Fg5srxU/edit?usp=sharing"",""ชัยภูมิ!L63"")+IMPORTRANGE(""https://docs.google.com/spreadsheets/d/1XVB7oCJ3pr-vBUdflwPQ8Z2LlzhnCvZaaYjAfP-647E/edit?usp"&amp;"=sharing"",""นครพนม!L63"")+IMPORTRANGE(""https://docs.google.com/spreadsheets/d/1Mnpb-8PYAgn85W6KOTD40hc_Xc55CaLfHoGAbrZ8tls/edit?usp=sharing"",""นครราชสีมา!L63"")+IMPORTRANGE(""https://docs.google.com/spreadsheets/d/1xoDLGBv9CYbyosIhki0kTq6IpYNj-gpjxfobn"&amp;"aDiut0/edit?usp=sharing"",""บึงกาฬ!L63"")+IMPORTRANGE(""https://docs.google.com/spreadsheets/d/1MMPq-JyI6DSgQETxuSiXkesP-P7JHuemnE6QJIa-Nlw/edit?usp=sharing"",""บุรีรัมย์!L63"")+IMPORTRANGE(""https://docs.google.com/spreadsheets/d/1l6IZ8xUPgMrESzcTYwhA1k_"&amp;"tPjeQjJPTqlm8Gd9eU5g/edit?usp=sharing"",""มหาสารคาม!L63"")+IMPORTRANGE(""https://docs.google.com/spreadsheets/d/1uB74YLqNjWX6FObjekfB2NtSYigTQyR2rq9u4Ub2Sq4/edit?usp=sharing"",""มุกดาหาร!L63"")+IMPORTRANGE(""https://docs.google.com/spreadsheets/d/1NexK3ge"&amp;"CPxCTO1fzNF8dPec7yZyUx3OaWkFBC9HsQOo/edit?usp=sharing"",""ยโสธร!L63"")+IMPORTRANGE(""https://docs.google.com/spreadsheets/d/1v_cJrbBlyqmnHPReHk44g9NrMRdENNlSy_E_c5M9fIg/edit?usp=sharing"",""ร้อยเอ็ด!L63"")+IMPORTRANGE(""https://docs.google.com/spreadsheet"&amp;"s/d/1Ul4RCpCX66NxYADU1QpwAPjOmBzW64SsT11s1wzXw_c/edit?usp=sharing"",""เลย!L63"")+IMPORTRANGE(""https://docs.google.com/spreadsheets/d/1bRrNKwbHDVktQG10isr5vbWRtt5spIZPpkOSWgbT5ug/edit?usp=sharing"",""ศรีสะเกษ!L63"")+IMPORTRANGE(""https://docs.google.com/s"&amp;"preadsheets/d/17P34_Ow5kFBfdQD0qspb2UuPX5zpi6WMrQzslghyvrI/edit?usp=sharing"",""สกลนคร!L63"")+IMPORTRANGE(""https://docs.google.com/spreadsheets/d/1yswqbM3-AEpThF3ZSUa1AcmHnmRTF1vlJ1CZGcJ8YuU/edit?usp=sharing"",""สุรินทร์!L63"")+IMPORTRANGE(""https://docs"&amp;".google.com/spreadsheets/d/13JHU_EFbsQOUQ0JSQ3dWy1VTRosIWcDq6Nc99z2qzdc/edit?usp=sharing"",""หนองคาย!L63"")+IMPORTRANGE(""https://docs.google.com/spreadsheets/d/1Hx73zIEgVdDZZaYSTc46Dqv64atFhpr3GelxLbaIN8A/edit?usp=sharing"",""หนองบัวลำภู!L63"")+IMPORTRAN"&amp;"GE(""https://docs.google.com/spreadsheets/d/1lFxr3ctmjFN90yc-xV6jrQ9Ty8BKYVBWnAZ15wcNIJc/edit?usp=sharing"",""อำนาจเจริญ!L63"")+IMPORTRANGE(""https://docs.google.com/spreadsheets/d/1gF7RJpRnL-1oyjyeWxs5SFWEH7y8ahOZsQlyp2A2e-A/edit?usp=sharing"",""อุดรธานี"&amp;"!L63"")+IMPORTRANGE(""https://docs.google.com/spreadsheets/d/1kfLP0j3INXRa8bTDpcEmoWewMBV61jlFlfzczfjWIgc/edit?usp=sharing"",""อุบลราชธานี!L63"")"),0)</f>
        <v>0</v>
      </c>
      <c r="M63" s="59">
        <f ca="1">IFERROR(__xludf.DUMMYFUNCTION("IMPORTRANGE(""https://docs.google.com/spreadsheets/d/1yhBcrRPreicbMKl9Bu_Snb2-OcQAF62RKfhTLhJ2eAA/edit?usp=sharing"",""กาฬสินธุ์!M63"")+IMPORTRANGE(""https://docs.google.com/spreadsheets/d/1aHkj4IaQMThhwWwevcOymEh837vdxeC_PycurhTbGFA/edit?usp=sharing"","""&amp;"ขอนแก่น!M63"")+IMPORTRANGE(""https://docs.google.com/spreadsheets/d/1FvTu2DsIWUjP6WCWra38Bkj_oOl_sOMf14r5Fg5srxU/edit?usp=sharing"",""ชัยภูมิ!M63"")+IMPORTRANGE(""https://docs.google.com/spreadsheets/d/1XVB7oCJ3pr-vBUdflwPQ8Z2LlzhnCvZaaYjAfP-647E/edit?usp"&amp;"=sharing"",""นครพนม!M63"")+IMPORTRANGE(""https://docs.google.com/spreadsheets/d/1Mnpb-8PYAgn85W6KOTD40hc_Xc55CaLfHoGAbrZ8tls/edit?usp=sharing"",""นครราชสีมา!M63"")+IMPORTRANGE(""https://docs.google.com/spreadsheets/d/1xoDLGBv9CYbyosIhki0kTq6IpYNj-gpjxfobn"&amp;"aDiut0/edit?usp=sharing"",""บึงกาฬ!M63"")+IMPORTRANGE(""https://docs.google.com/spreadsheets/d/1MMPq-JyI6DSgQETxuSiXkesP-P7JHuemnE6QJIa-Nlw/edit?usp=sharing"",""บุรีรัมย์!M63"")+IMPORTRANGE(""https://docs.google.com/spreadsheets/d/1l6IZ8xUPgMrESzcTYwhA1k_"&amp;"tPjeQjJPTqlm8Gd9eU5g/edit?usp=sharing"",""มหาสารคาม!M63"")+IMPORTRANGE(""https://docs.google.com/spreadsheets/d/1uB74YLqNjWX6FObjekfB2NtSYigTQyR2rq9u4Ub2Sq4/edit?usp=sharing"",""มุกดาหาร!M63"")+IMPORTRANGE(""https://docs.google.com/spreadsheets/d/1NexK3ge"&amp;"CPxCTO1fzNF8dPec7yZyUx3OaWkFBC9HsQOo/edit?usp=sharing"",""ยโสธร!M63"")+IMPORTRANGE(""https://docs.google.com/spreadsheets/d/1v_cJrbBlyqmnHPReHk44g9NrMRdENNlSy_E_c5M9fIg/edit?usp=sharing"",""ร้อยเอ็ด!M63"")+IMPORTRANGE(""https://docs.google.com/spreadsheet"&amp;"s/d/1Ul4RCpCX66NxYADU1QpwAPjOmBzW64SsT11s1wzXw_c/edit?usp=sharing"",""เลย!M63"")+IMPORTRANGE(""https://docs.google.com/spreadsheets/d/1bRrNKwbHDVktQG10isr5vbWRtt5spIZPpkOSWgbT5ug/edit?usp=sharing"",""ศรีสะเกษ!M63"")+IMPORTRANGE(""https://docs.google.com/s"&amp;"preadsheets/d/17P34_Ow5kFBfdQD0qspb2UuPX5zpi6WMrQzslghyvrI/edit?usp=sharing"",""สกลนคร!M63"")+IMPORTRANGE(""https://docs.google.com/spreadsheets/d/1yswqbM3-AEpThF3ZSUa1AcmHnmRTF1vlJ1CZGcJ8YuU/edit?usp=sharing"",""สุรินทร์!M63"")+IMPORTRANGE(""https://docs"&amp;".google.com/spreadsheets/d/13JHU_EFbsQOUQ0JSQ3dWy1VTRosIWcDq6Nc99z2qzdc/edit?usp=sharing"",""หนองคาย!M63"")+IMPORTRANGE(""https://docs.google.com/spreadsheets/d/1Hx73zIEgVdDZZaYSTc46Dqv64atFhpr3GelxLbaIN8A/edit?usp=sharing"",""หนองบัวลำภู!M63"")+IMPORTRAN"&amp;"GE(""https://docs.google.com/spreadsheets/d/1lFxr3ctmjFN90yc-xV6jrQ9Ty8BKYVBWnAZ15wcNIJc/edit?usp=sharing"",""อำนาจเจริญ!M63"")+IMPORTRANGE(""https://docs.google.com/spreadsheets/d/1gF7RJpRnL-1oyjyeWxs5SFWEH7y8ahOZsQlyp2A2e-A/edit?usp=sharing"",""อุดรธานี"&amp;"!M63"")+IMPORTRANGE(""https://docs.google.com/spreadsheets/d/1kfLP0j3INXRa8bTDpcEmoWewMBV61jlFlfzczfjWIgc/edit?usp=sharing"",""อุบลราชธานี!M63"")"),0)</f>
        <v>0</v>
      </c>
      <c r="N63" s="59">
        <f ca="1">IFERROR(__xludf.DUMMYFUNCTION("IMPORTRANGE(""https://docs.google.com/spreadsheets/d/1yhBcrRPreicbMKl9Bu_Snb2-OcQAF62RKfhTLhJ2eAA/edit?usp=sharing"",""กาฬสินธุ์!N63"")+IMPORTRANGE(""https://docs.google.com/spreadsheets/d/1aHkj4IaQMThhwWwevcOymEh837vdxeC_PycurhTbGFA/edit?usp=sharing"","""&amp;"ขอนแก่น!N63"")+IMPORTRANGE(""https://docs.google.com/spreadsheets/d/1FvTu2DsIWUjP6WCWra38Bkj_oOl_sOMf14r5Fg5srxU/edit?usp=sharing"",""ชัยภูมิ!N63"")+IMPORTRANGE(""https://docs.google.com/spreadsheets/d/1XVB7oCJ3pr-vBUdflwPQ8Z2LlzhnCvZaaYjAfP-647E/edit?usp"&amp;"=sharing"",""นครพนม!N63"")+IMPORTRANGE(""https://docs.google.com/spreadsheets/d/1Mnpb-8PYAgn85W6KOTD40hc_Xc55CaLfHoGAbrZ8tls/edit?usp=sharing"",""นครราชสีมา!N63"")+IMPORTRANGE(""https://docs.google.com/spreadsheets/d/1xoDLGBv9CYbyosIhki0kTq6IpYNj-gpjxfobn"&amp;"aDiut0/edit?usp=sharing"",""บึงกาฬ!N63"")+IMPORTRANGE(""https://docs.google.com/spreadsheets/d/1MMPq-JyI6DSgQETxuSiXkesP-P7JHuemnE6QJIa-Nlw/edit?usp=sharing"",""บุรีรัมย์!N63"")+IMPORTRANGE(""https://docs.google.com/spreadsheets/d/1l6IZ8xUPgMrESzcTYwhA1k_"&amp;"tPjeQjJPTqlm8Gd9eU5g/edit?usp=sharing"",""มหาสารคาม!N63"")+IMPORTRANGE(""https://docs.google.com/spreadsheets/d/1uB74YLqNjWX6FObjekfB2NtSYigTQyR2rq9u4Ub2Sq4/edit?usp=sharing"",""มุกดาหาร!N63"")+IMPORTRANGE(""https://docs.google.com/spreadsheets/d/1NexK3ge"&amp;"CPxCTO1fzNF8dPec7yZyUx3OaWkFBC9HsQOo/edit?usp=sharing"",""ยโสธร!N63"")+IMPORTRANGE(""https://docs.google.com/spreadsheets/d/1v_cJrbBlyqmnHPReHk44g9NrMRdENNlSy_E_c5M9fIg/edit?usp=sharing"",""ร้อยเอ็ด!N63"")+IMPORTRANGE(""https://docs.google.com/spreadsheet"&amp;"s/d/1Ul4RCpCX66NxYADU1QpwAPjOmBzW64SsT11s1wzXw_c/edit?usp=sharing"",""เลย!N63"")+IMPORTRANGE(""https://docs.google.com/spreadsheets/d/1bRrNKwbHDVktQG10isr5vbWRtt5spIZPpkOSWgbT5ug/edit?usp=sharing"",""ศรีสะเกษ!N63"")+IMPORTRANGE(""https://docs.google.com/s"&amp;"preadsheets/d/17P34_Ow5kFBfdQD0qspb2UuPX5zpi6WMrQzslghyvrI/edit?usp=sharing"",""สกลนคร!N63"")+IMPORTRANGE(""https://docs.google.com/spreadsheets/d/1yswqbM3-AEpThF3ZSUa1AcmHnmRTF1vlJ1CZGcJ8YuU/edit?usp=sharing"",""สุรินทร์!N63"")+IMPORTRANGE(""https://docs"&amp;".google.com/spreadsheets/d/13JHU_EFbsQOUQ0JSQ3dWy1VTRosIWcDq6Nc99z2qzdc/edit?usp=sharing"",""หนองคาย!N63"")+IMPORTRANGE(""https://docs.google.com/spreadsheets/d/1Hx73zIEgVdDZZaYSTc46Dqv64atFhpr3GelxLbaIN8A/edit?usp=sharing"",""หนองบัวลำภู!N63"")+IMPORTRAN"&amp;"GE(""https://docs.google.com/spreadsheets/d/1lFxr3ctmjFN90yc-xV6jrQ9Ty8BKYVBWnAZ15wcNIJc/edit?usp=sharing"",""อำนาจเจริญ!N63"")+IMPORTRANGE(""https://docs.google.com/spreadsheets/d/1gF7RJpRnL-1oyjyeWxs5SFWEH7y8ahOZsQlyp2A2e-A/edit?usp=sharing"",""อุดรธานี"&amp;"!N63"")+IMPORTRANGE(""https://docs.google.com/spreadsheets/d/1kfLP0j3INXRa8bTDpcEmoWewMBV61jlFlfzczfjWIgc/edit?usp=sharing"",""อุบลราชธานี!N63"")"),0)</f>
        <v>0</v>
      </c>
      <c r="O63" s="59">
        <f t="shared" ca="1" si="24"/>
        <v>0</v>
      </c>
      <c r="P63" s="59">
        <f t="shared" ca="1" si="25"/>
        <v>0</v>
      </c>
    </row>
    <row r="64" spans="1:16" ht="18.75" x14ac:dyDescent="0.25">
      <c r="A64" s="52"/>
      <c r="B64" s="53"/>
      <c r="C64" s="53"/>
      <c r="D64" s="53"/>
      <c r="E64" s="60" t="s">
        <v>19</v>
      </c>
      <c r="F64" s="53"/>
      <c r="G64" s="55"/>
      <c r="H64" s="56" t="s">
        <v>12</v>
      </c>
      <c r="I64" s="57"/>
      <c r="J64" s="57"/>
      <c r="K64" s="58"/>
      <c r="L64" s="59">
        <f ca="1">IFERROR(__xludf.DUMMYFUNCTION("IMPORTRANGE(""https://docs.google.com/spreadsheets/d/1yhBcrRPreicbMKl9Bu_Snb2-OcQAF62RKfhTLhJ2eAA/edit?usp=sharing"",""กาฬสินธุ์!L64"")+IMPORTRANGE(""https://docs.google.com/spreadsheets/d/1aHkj4IaQMThhwWwevcOymEh837vdxeC_PycurhTbGFA/edit?usp=sharing"","""&amp;"ขอนแก่น!L64"")+IMPORTRANGE(""https://docs.google.com/spreadsheets/d/1FvTu2DsIWUjP6WCWra38Bkj_oOl_sOMf14r5Fg5srxU/edit?usp=sharing"",""ชัยภูมิ!L64"")+IMPORTRANGE(""https://docs.google.com/spreadsheets/d/1XVB7oCJ3pr-vBUdflwPQ8Z2LlzhnCvZaaYjAfP-647E/edit?usp"&amp;"=sharing"",""นครพนม!L64"")+IMPORTRANGE(""https://docs.google.com/spreadsheets/d/1Mnpb-8PYAgn85W6KOTD40hc_Xc55CaLfHoGAbrZ8tls/edit?usp=sharing"",""นครราชสีมา!L64"")+IMPORTRANGE(""https://docs.google.com/spreadsheets/d/1xoDLGBv9CYbyosIhki0kTq6IpYNj-gpjxfobn"&amp;"aDiut0/edit?usp=sharing"",""บึงกาฬ!L64"")+IMPORTRANGE(""https://docs.google.com/spreadsheets/d/1MMPq-JyI6DSgQETxuSiXkesP-P7JHuemnE6QJIa-Nlw/edit?usp=sharing"",""บุรีรัมย์!L64"")+IMPORTRANGE(""https://docs.google.com/spreadsheets/d/1l6IZ8xUPgMrESzcTYwhA1k_"&amp;"tPjeQjJPTqlm8Gd9eU5g/edit?usp=sharing"",""มหาสารคาม!L64"")+IMPORTRANGE(""https://docs.google.com/spreadsheets/d/1uB74YLqNjWX6FObjekfB2NtSYigTQyR2rq9u4Ub2Sq4/edit?usp=sharing"",""มุกดาหาร!L64"")+IMPORTRANGE(""https://docs.google.com/spreadsheets/d/1NexK3ge"&amp;"CPxCTO1fzNF8dPec7yZyUx3OaWkFBC9HsQOo/edit?usp=sharing"",""ยโสธร!L64"")+IMPORTRANGE(""https://docs.google.com/spreadsheets/d/1v_cJrbBlyqmnHPReHk44g9NrMRdENNlSy_E_c5M9fIg/edit?usp=sharing"",""ร้อยเอ็ด!L64"")+IMPORTRANGE(""https://docs.google.com/spreadsheet"&amp;"s/d/1Ul4RCpCX66NxYADU1QpwAPjOmBzW64SsT11s1wzXw_c/edit?usp=sharing"",""เลย!L64"")+IMPORTRANGE(""https://docs.google.com/spreadsheets/d/1bRrNKwbHDVktQG10isr5vbWRtt5spIZPpkOSWgbT5ug/edit?usp=sharing"",""ศรีสะเกษ!L64"")+IMPORTRANGE(""https://docs.google.com/s"&amp;"preadsheets/d/17P34_Ow5kFBfdQD0qspb2UuPX5zpi6WMrQzslghyvrI/edit?usp=sharing"",""สกลนคร!L64"")+IMPORTRANGE(""https://docs.google.com/spreadsheets/d/1yswqbM3-AEpThF3ZSUa1AcmHnmRTF1vlJ1CZGcJ8YuU/edit?usp=sharing"",""สุรินทร์!L64"")+IMPORTRANGE(""https://docs"&amp;".google.com/spreadsheets/d/13JHU_EFbsQOUQ0JSQ3dWy1VTRosIWcDq6Nc99z2qzdc/edit?usp=sharing"",""หนองคาย!L64"")+IMPORTRANGE(""https://docs.google.com/spreadsheets/d/1Hx73zIEgVdDZZaYSTc46Dqv64atFhpr3GelxLbaIN8A/edit?usp=sharing"",""หนองบัวลำภู!L64"")+IMPORTRAN"&amp;"GE(""https://docs.google.com/spreadsheets/d/1lFxr3ctmjFN90yc-xV6jrQ9Ty8BKYVBWnAZ15wcNIJc/edit?usp=sharing"",""อำนาจเจริญ!L64"")+IMPORTRANGE(""https://docs.google.com/spreadsheets/d/1gF7RJpRnL-1oyjyeWxs5SFWEH7y8ahOZsQlyp2A2e-A/edit?usp=sharing"",""อุดรธานี"&amp;"!L64"")+IMPORTRANGE(""https://docs.google.com/spreadsheets/d/1kfLP0j3INXRa8bTDpcEmoWewMBV61jlFlfzczfjWIgc/edit?usp=sharing"",""อุบลราชธานี!L64"")"),10796200)</f>
        <v>10796200</v>
      </c>
      <c r="M64" s="59">
        <f ca="1">IFERROR(__xludf.DUMMYFUNCTION("IMPORTRANGE(""https://docs.google.com/spreadsheets/d/1yhBcrRPreicbMKl9Bu_Snb2-OcQAF62RKfhTLhJ2eAA/edit?usp=sharing"",""กาฬสินธุ์!M64"")+IMPORTRANGE(""https://docs.google.com/spreadsheets/d/1aHkj4IaQMThhwWwevcOymEh837vdxeC_PycurhTbGFA/edit?usp=sharing"","""&amp;"ขอนแก่น!M64"")+IMPORTRANGE(""https://docs.google.com/spreadsheets/d/1FvTu2DsIWUjP6WCWra38Bkj_oOl_sOMf14r5Fg5srxU/edit?usp=sharing"",""ชัยภูมิ!M64"")+IMPORTRANGE(""https://docs.google.com/spreadsheets/d/1XVB7oCJ3pr-vBUdflwPQ8Z2LlzhnCvZaaYjAfP-647E/edit?usp"&amp;"=sharing"",""นครพนม!M64"")+IMPORTRANGE(""https://docs.google.com/spreadsheets/d/1Mnpb-8PYAgn85W6KOTD40hc_Xc55CaLfHoGAbrZ8tls/edit?usp=sharing"",""นครราชสีมา!M64"")+IMPORTRANGE(""https://docs.google.com/spreadsheets/d/1xoDLGBv9CYbyosIhki0kTq6IpYNj-gpjxfobn"&amp;"aDiut0/edit?usp=sharing"",""บึงกาฬ!M64"")+IMPORTRANGE(""https://docs.google.com/spreadsheets/d/1MMPq-JyI6DSgQETxuSiXkesP-P7JHuemnE6QJIa-Nlw/edit?usp=sharing"",""บุรีรัมย์!M64"")+IMPORTRANGE(""https://docs.google.com/spreadsheets/d/1l6IZ8xUPgMrESzcTYwhA1k_"&amp;"tPjeQjJPTqlm8Gd9eU5g/edit?usp=sharing"",""มหาสารคาม!M64"")+IMPORTRANGE(""https://docs.google.com/spreadsheets/d/1uB74YLqNjWX6FObjekfB2NtSYigTQyR2rq9u4Ub2Sq4/edit?usp=sharing"",""มุกดาหาร!M64"")+IMPORTRANGE(""https://docs.google.com/spreadsheets/d/1NexK3ge"&amp;"CPxCTO1fzNF8dPec7yZyUx3OaWkFBC9HsQOo/edit?usp=sharing"",""ยโสธร!M64"")+IMPORTRANGE(""https://docs.google.com/spreadsheets/d/1v_cJrbBlyqmnHPReHk44g9NrMRdENNlSy_E_c5M9fIg/edit?usp=sharing"",""ร้อยเอ็ด!M64"")+IMPORTRANGE(""https://docs.google.com/spreadsheet"&amp;"s/d/1Ul4RCpCX66NxYADU1QpwAPjOmBzW64SsT11s1wzXw_c/edit?usp=sharing"",""เลย!M64"")+IMPORTRANGE(""https://docs.google.com/spreadsheets/d/1bRrNKwbHDVktQG10isr5vbWRtt5spIZPpkOSWgbT5ug/edit?usp=sharing"",""ศรีสะเกษ!M64"")+IMPORTRANGE(""https://docs.google.com/s"&amp;"preadsheets/d/17P34_Ow5kFBfdQD0qspb2UuPX5zpi6WMrQzslghyvrI/edit?usp=sharing"",""สกลนคร!M64"")+IMPORTRANGE(""https://docs.google.com/spreadsheets/d/1yswqbM3-AEpThF3ZSUa1AcmHnmRTF1vlJ1CZGcJ8YuU/edit?usp=sharing"",""สุรินทร์!M64"")+IMPORTRANGE(""https://docs"&amp;".google.com/spreadsheets/d/13JHU_EFbsQOUQ0JSQ3dWy1VTRosIWcDq6Nc99z2qzdc/edit?usp=sharing"",""หนองคาย!M64"")+IMPORTRANGE(""https://docs.google.com/spreadsheets/d/1Hx73zIEgVdDZZaYSTc46Dqv64atFhpr3GelxLbaIN8A/edit?usp=sharing"",""หนองบัวลำภู!M64"")+IMPORTRAN"&amp;"GE(""https://docs.google.com/spreadsheets/d/1lFxr3ctmjFN90yc-xV6jrQ9Ty8BKYVBWnAZ15wcNIJc/edit?usp=sharing"",""อำนาจเจริญ!M64"")+IMPORTRANGE(""https://docs.google.com/spreadsheets/d/1gF7RJpRnL-1oyjyeWxs5SFWEH7y8ahOZsQlyp2A2e-A/edit?usp=sharing"",""อุดรธานี"&amp;"!M64"")+IMPORTRANGE(""https://docs.google.com/spreadsheets/d/1kfLP0j3INXRa8bTDpcEmoWewMBV61jlFlfzczfjWIgc/edit?usp=sharing"",""อุบลราชธานี!M64"")"),8262130)</f>
        <v>8262130</v>
      </c>
      <c r="N64" s="59">
        <f ca="1">IFERROR(__xludf.DUMMYFUNCTION("IMPORTRANGE(""https://docs.google.com/spreadsheets/d/1yhBcrRPreicbMKl9Bu_Snb2-OcQAF62RKfhTLhJ2eAA/edit?usp=sharing"",""กาฬสินธุ์!N64"")+IMPORTRANGE(""https://docs.google.com/spreadsheets/d/1aHkj4IaQMThhwWwevcOymEh837vdxeC_PycurhTbGFA/edit?usp=sharing"","""&amp;"ขอนแก่น!N64"")+IMPORTRANGE(""https://docs.google.com/spreadsheets/d/1FvTu2DsIWUjP6WCWra38Bkj_oOl_sOMf14r5Fg5srxU/edit?usp=sharing"",""ชัยภูมิ!N64"")+IMPORTRANGE(""https://docs.google.com/spreadsheets/d/1XVB7oCJ3pr-vBUdflwPQ8Z2LlzhnCvZaaYjAfP-647E/edit?usp"&amp;"=sharing"",""นครพนม!N64"")+IMPORTRANGE(""https://docs.google.com/spreadsheets/d/1Mnpb-8PYAgn85W6KOTD40hc_Xc55CaLfHoGAbrZ8tls/edit?usp=sharing"",""นครราชสีมา!N64"")+IMPORTRANGE(""https://docs.google.com/spreadsheets/d/1xoDLGBv9CYbyosIhki0kTq6IpYNj-gpjxfobn"&amp;"aDiut0/edit?usp=sharing"",""บึงกาฬ!N64"")+IMPORTRANGE(""https://docs.google.com/spreadsheets/d/1MMPq-JyI6DSgQETxuSiXkesP-P7JHuemnE6QJIa-Nlw/edit?usp=sharing"",""บุรีรัมย์!N64"")+IMPORTRANGE(""https://docs.google.com/spreadsheets/d/1l6IZ8xUPgMrESzcTYwhA1k_"&amp;"tPjeQjJPTqlm8Gd9eU5g/edit?usp=sharing"",""มหาสารคาม!N64"")+IMPORTRANGE(""https://docs.google.com/spreadsheets/d/1uB74YLqNjWX6FObjekfB2NtSYigTQyR2rq9u4Ub2Sq4/edit?usp=sharing"",""มุกดาหาร!N64"")+IMPORTRANGE(""https://docs.google.com/spreadsheets/d/1NexK3ge"&amp;"CPxCTO1fzNF8dPec7yZyUx3OaWkFBC9HsQOo/edit?usp=sharing"",""ยโสธร!N64"")+IMPORTRANGE(""https://docs.google.com/spreadsheets/d/1v_cJrbBlyqmnHPReHk44g9NrMRdENNlSy_E_c5M9fIg/edit?usp=sharing"",""ร้อยเอ็ด!N64"")+IMPORTRANGE(""https://docs.google.com/spreadsheet"&amp;"s/d/1Ul4RCpCX66NxYADU1QpwAPjOmBzW64SsT11s1wzXw_c/edit?usp=sharing"",""เลย!N64"")+IMPORTRANGE(""https://docs.google.com/spreadsheets/d/1bRrNKwbHDVktQG10isr5vbWRtt5spIZPpkOSWgbT5ug/edit?usp=sharing"",""ศรีสะเกษ!N64"")+IMPORTRANGE(""https://docs.google.com/s"&amp;"preadsheets/d/17P34_Ow5kFBfdQD0qspb2UuPX5zpi6WMrQzslghyvrI/edit?usp=sharing"",""สกลนคร!N64"")+IMPORTRANGE(""https://docs.google.com/spreadsheets/d/1yswqbM3-AEpThF3ZSUa1AcmHnmRTF1vlJ1CZGcJ8YuU/edit?usp=sharing"",""สุรินทร์!N64"")+IMPORTRANGE(""https://docs"&amp;".google.com/spreadsheets/d/13JHU_EFbsQOUQ0JSQ3dWy1VTRosIWcDq6Nc99z2qzdc/edit?usp=sharing"",""หนองคาย!N64"")+IMPORTRANGE(""https://docs.google.com/spreadsheets/d/1Hx73zIEgVdDZZaYSTc46Dqv64atFhpr3GelxLbaIN8A/edit?usp=sharing"",""หนองบัวลำภู!N64"")+IMPORTRAN"&amp;"GE(""https://docs.google.com/spreadsheets/d/1lFxr3ctmjFN90yc-xV6jrQ9Ty8BKYVBWnAZ15wcNIJc/edit?usp=sharing"",""อำนาจเจริญ!N64"")+IMPORTRANGE(""https://docs.google.com/spreadsheets/d/1gF7RJpRnL-1oyjyeWxs5SFWEH7y8ahOZsQlyp2A2e-A/edit?usp=sharing"",""อุดรธานี"&amp;"!N64"")+IMPORTRANGE(""https://docs.google.com/spreadsheets/d/1kfLP0j3INXRa8bTDpcEmoWewMBV61jlFlfzczfjWIgc/edit?usp=sharing"",""อุบลราชธานี!N64"")"),4960890.39999999)</f>
        <v>4960890.3999999901</v>
      </c>
      <c r="O64" s="59">
        <f t="shared" ca="1" si="24"/>
        <v>45.950338081917621</v>
      </c>
      <c r="P64" s="59">
        <f t="shared" ca="1" si="25"/>
        <v>60.04372238151651</v>
      </c>
    </row>
    <row r="65" spans="1:16" ht="18.75" x14ac:dyDescent="0.25">
      <c r="A65" s="52"/>
      <c r="B65" s="53"/>
      <c r="C65" s="53"/>
      <c r="D65" s="54" t="s">
        <v>21</v>
      </c>
      <c r="E65" s="53"/>
      <c r="F65" s="53"/>
      <c r="G65" s="55"/>
      <c r="H65" s="56" t="s">
        <v>12</v>
      </c>
      <c r="I65" s="57"/>
      <c r="J65" s="57"/>
      <c r="K65" s="58"/>
      <c r="L65" s="59">
        <f t="shared" ref="L65:N65" ca="1" si="29">L66+L67</f>
        <v>0</v>
      </c>
      <c r="M65" s="59">
        <f t="shared" ca="1" si="29"/>
        <v>0</v>
      </c>
      <c r="N65" s="59">
        <f t="shared" ca="1" si="29"/>
        <v>0</v>
      </c>
      <c r="O65" s="59">
        <f t="shared" ca="1" si="24"/>
        <v>0</v>
      </c>
      <c r="P65" s="59">
        <f t="shared" ca="1" si="25"/>
        <v>0</v>
      </c>
    </row>
    <row r="66" spans="1:16" ht="18.75" x14ac:dyDescent="0.25">
      <c r="A66" s="52"/>
      <c r="B66" s="53"/>
      <c r="C66" s="53"/>
      <c r="D66" s="53"/>
      <c r="E66" s="60" t="s">
        <v>18</v>
      </c>
      <c r="F66" s="53"/>
      <c r="G66" s="55"/>
      <c r="H66" s="56" t="s">
        <v>12</v>
      </c>
      <c r="I66" s="57"/>
      <c r="J66" s="57"/>
      <c r="K66" s="58"/>
      <c r="L66" s="59">
        <f ca="1">IFERROR(__xludf.DUMMYFUNCTION("IMPORTRANGE(""https://docs.google.com/spreadsheets/d/1yhBcrRPreicbMKl9Bu_Snb2-OcQAF62RKfhTLhJ2eAA/edit?usp=sharing"",""กาฬสินธุ์!L66"")+IMPORTRANGE(""https://docs.google.com/spreadsheets/d/1aHkj4IaQMThhwWwevcOymEh837vdxeC_PycurhTbGFA/edit?usp=sharing"","""&amp;"ขอนแก่น!L66"")+IMPORTRANGE(""https://docs.google.com/spreadsheets/d/1FvTu2DsIWUjP6WCWra38Bkj_oOl_sOMf14r5Fg5srxU/edit?usp=sharing"",""ชัยภูมิ!L66"")+IMPORTRANGE(""https://docs.google.com/spreadsheets/d/1XVB7oCJ3pr-vBUdflwPQ8Z2LlzhnCvZaaYjAfP-647E/edit?usp"&amp;"=sharing"",""นครพนม!L66"")+IMPORTRANGE(""https://docs.google.com/spreadsheets/d/1Mnpb-8PYAgn85W6KOTD40hc_Xc55CaLfHoGAbrZ8tls/edit?usp=sharing"",""นครราชสีมา!L66"")+IMPORTRANGE(""https://docs.google.com/spreadsheets/d/1xoDLGBv9CYbyosIhki0kTq6IpYNj-gpjxfobn"&amp;"aDiut0/edit?usp=sharing"",""บึงกาฬ!L66"")+IMPORTRANGE(""https://docs.google.com/spreadsheets/d/1MMPq-JyI6DSgQETxuSiXkesP-P7JHuemnE6QJIa-Nlw/edit?usp=sharing"",""บุรีรัมย์!L66"")+IMPORTRANGE(""https://docs.google.com/spreadsheets/d/1l6IZ8xUPgMrESzcTYwhA1k_"&amp;"tPjeQjJPTqlm8Gd9eU5g/edit?usp=sharing"",""มหาสารคาม!L66"")+IMPORTRANGE(""https://docs.google.com/spreadsheets/d/1uB74YLqNjWX6FObjekfB2NtSYigTQyR2rq9u4Ub2Sq4/edit?usp=sharing"",""มุกดาหาร!L66"")+IMPORTRANGE(""https://docs.google.com/spreadsheets/d/1NexK3ge"&amp;"CPxCTO1fzNF8dPec7yZyUx3OaWkFBC9HsQOo/edit?usp=sharing"",""ยโสธร!L66"")+IMPORTRANGE(""https://docs.google.com/spreadsheets/d/1v_cJrbBlyqmnHPReHk44g9NrMRdENNlSy_E_c5M9fIg/edit?usp=sharing"",""ร้อยเอ็ด!L66"")+IMPORTRANGE(""https://docs.google.com/spreadsheet"&amp;"s/d/1Ul4RCpCX66NxYADU1QpwAPjOmBzW64SsT11s1wzXw_c/edit?usp=sharing"",""เลย!L66"")+IMPORTRANGE(""https://docs.google.com/spreadsheets/d/1bRrNKwbHDVktQG10isr5vbWRtt5spIZPpkOSWgbT5ug/edit?usp=sharing"",""ศรีสะเกษ!L66"")+IMPORTRANGE(""https://docs.google.com/s"&amp;"preadsheets/d/17P34_Ow5kFBfdQD0qspb2UuPX5zpi6WMrQzslghyvrI/edit?usp=sharing"",""สกลนคร!L66"")+IMPORTRANGE(""https://docs.google.com/spreadsheets/d/1yswqbM3-AEpThF3ZSUa1AcmHnmRTF1vlJ1CZGcJ8YuU/edit?usp=sharing"",""สุรินทร์!L66"")+IMPORTRANGE(""https://docs"&amp;".google.com/spreadsheets/d/13JHU_EFbsQOUQ0JSQ3dWy1VTRosIWcDq6Nc99z2qzdc/edit?usp=sharing"",""หนองคาย!L66"")+IMPORTRANGE(""https://docs.google.com/spreadsheets/d/1Hx73zIEgVdDZZaYSTc46Dqv64atFhpr3GelxLbaIN8A/edit?usp=sharing"",""หนองบัวลำภู!L66"")+IMPORTRAN"&amp;"GE(""https://docs.google.com/spreadsheets/d/1lFxr3ctmjFN90yc-xV6jrQ9Ty8BKYVBWnAZ15wcNIJc/edit?usp=sharing"",""อำนาจเจริญ!L66"")+IMPORTRANGE(""https://docs.google.com/spreadsheets/d/1gF7RJpRnL-1oyjyeWxs5SFWEH7y8ahOZsQlyp2A2e-A/edit?usp=sharing"",""อุดรธานี"&amp;"!L66"")+IMPORTRANGE(""https://docs.google.com/spreadsheets/d/1kfLP0j3INXRa8bTDpcEmoWewMBV61jlFlfzczfjWIgc/edit?usp=sharing"",""อุบลราชธานี!L66"")"),0)</f>
        <v>0</v>
      </c>
      <c r="M66" s="59">
        <f ca="1">IFERROR(__xludf.DUMMYFUNCTION("IMPORTRANGE(""https://docs.google.com/spreadsheets/d/1yhBcrRPreicbMKl9Bu_Snb2-OcQAF62RKfhTLhJ2eAA/edit?usp=sharing"",""กาฬสินธุ์!M66"")+IMPORTRANGE(""https://docs.google.com/spreadsheets/d/1aHkj4IaQMThhwWwevcOymEh837vdxeC_PycurhTbGFA/edit?usp=sharing"","""&amp;"ขอนแก่น!M66"")+IMPORTRANGE(""https://docs.google.com/spreadsheets/d/1FvTu2DsIWUjP6WCWra38Bkj_oOl_sOMf14r5Fg5srxU/edit?usp=sharing"",""ชัยภูมิ!M66"")+IMPORTRANGE(""https://docs.google.com/spreadsheets/d/1XVB7oCJ3pr-vBUdflwPQ8Z2LlzhnCvZaaYjAfP-647E/edit?usp"&amp;"=sharing"",""นครพนม!M66"")+IMPORTRANGE(""https://docs.google.com/spreadsheets/d/1Mnpb-8PYAgn85W6KOTD40hc_Xc55CaLfHoGAbrZ8tls/edit?usp=sharing"",""นครราชสีมา!M66"")+IMPORTRANGE(""https://docs.google.com/spreadsheets/d/1xoDLGBv9CYbyosIhki0kTq6IpYNj-gpjxfobn"&amp;"aDiut0/edit?usp=sharing"",""บึงกาฬ!M66"")+IMPORTRANGE(""https://docs.google.com/spreadsheets/d/1MMPq-JyI6DSgQETxuSiXkesP-P7JHuemnE6QJIa-Nlw/edit?usp=sharing"",""บุรีรัมย์!M66"")+IMPORTRANGE(""https://docs.google.com/spreadsheets/d/1l6IZ8xUPgMrESzcTYwhA1k_"&amp;"tPjeQjJPTqlm8Gd9eU5g/edit?usp=sharing"",""มหาสารคาม!M66"")+IMPORTRANGE(""https://docs.google.com/spreadsheets/d/1uB74YLqNjWX6FObjekfB2NtSYigTQyR2rq9u4Ub2Sq4/edit?usp=sharing"",""มุกดาหาร!M66"")+IMPORTRANGE(""https://docs.google.com/spreadsheets/d/1NexK3ge"&amp;"CPxCTO1fzNF8dPec7yZyUx3OaWkFBC9HsQOo/edit?usp=sharing"",""ยโสธร!M66"")+IMPORTRANGE(""https://docs.google.com/spreadsheets/d/1v_cJrbBlyqmnHPReHk44g9NrMRdENNlSy_E_c5M9fIg/edit?usp=sharing"",""ร้อยเอ็ด!M66"")+IMPORTRANGE(""https://docs.google.com/spreadsheet"&amp;"s/d/1Ul4RCpCX66NxYADU1QpwAPjOmBzW64SsT11s1wzXw_c/edit?usp=sharing"",""เลย!M66"")+IMPORTRANGE(""https://docs.google.com/spreadsheets/d/1bRrNKwbHDVktQG10isr5vbWRtt5spIZPpkOSWgbT5ug/edit?usp=sharing"",""ศรีสะเกษ!M66"")+IMPORTRANGE(""https://docs.google.com/s"&amp;"preadsheets/d/17P34_Ow5kFBfdQD0qspb2UuPX5zpi6WMrQzslghyvrI/edit?usp=sharing"",""สกลนคร!M66"")+IMPORTRANGE(""https://docs.google.com/spreadsheets/d/1yswqbM3-AEpThF3ZSUa1AcmHnmRTF1vlJ1CZGcJ8YuU/edit?usp=sharing"",""สุรินทร์!M66"")+IMPORTRANGE(""https://docs"&amp;".google.com/spreadsheets/d/13JHU_EFbsQOUQ0JSQ3dWy1VTRosIWcDq6Nc99z2qzdc/edit?usp=sharing"",""หนองคาย!M66"")+IMPORTRANGE(""https://docs.google.com/spreadsheets/d/1Hx73zIEgVdDZZaYSTc46Dqv64atFhpr3GelxLbaIN8A/edit?usp=sharing"",""หนองบัวลำภู!M66"")+IMPORTRAN"&amp;"GE(""https://docs.google.com/spreadsheets/d/1lFxr3ctmjFN90yc-xV6jrQ9Ty8BKYVBWnAZ15wcNIJc/edit?usp=sharing"",""อำนาจเจริญ!M66"")+IMPORTRANGE(""https://docs.google.com/spreadsheets/d/1gF7RJpRnL-1oyjyeWxs5SFWEH7y8ahOZsQlyp2A2e-A/edit?usp=sharing"",""อุดรธานี"&amp;"!M66"")+IMPORTRANGE(""https://docs.google.com/spreadsheets/d/1kfLP0j3INXRa8bTDpcEmoWewMBV61jlFlfzczfjWIgc/edit?usp=sharing"",""อุบลราชธานี!M66"")"),0)</f>
        <v>0</v>
      </c>
      <c r="N66" s="59">
        <f ca="1">IFERROR(__xludf.DUMMYFUNCTION("IMPORTRANGE(""https://docs.google.com/spreadsheets/d/1yhBcrRPreicbMKl9Bu_Snb2-OcQAF62RKfhTLhJ2eAA/edit?usp=sharing"",""กาฬสินธุ์!N66"")+IMPORTRANGE(""https://docs.google.com/spreadsheets/d/1aHkj4IaQMThhwWwevcOymEh837vdxeC_PycurhTbGFA/edit?usp=sharing"","""&amp;"ขอนแก่น!N66"")+IMPORTRANGE(""https://docs.google.com/spreadsheets/d/1FvTu2DsIWUjP6WCWra38Bkj_oOl_sOMf14r5Fg5srxU/edit?usp=sharing"",""ชัยภูมิ!N66"")+IMPORTRANGE(""https://docs.google.com/spreadsheets/d/1XVB7oCJ3pr-vBUdflwPQ8Z2LlzhnCvZaaYjAfP-647E/edit?usp"&amp;"=sharing"",""นครพนม!N66"")+IMPORTRANGE(""https://docs.google.com/spreadsheets/d/1Mnpb-8PYAgn85W6KOTD40hc_Xc55CaLfHoGAbrZ8tls/edit?usp=sharing"",""นครราชสีมา!N66"")+IMPORTRANGE(""https://docs.google.com/spreadsheets/d/1xoDLGBv9CYbyosIhki0kTq6IpYNj-gpjxfobn"&amp;"aDiut0/edit?usp=sharing"",""บึงกาฬ!N66"")+IMPORTRANGE(""https://docs.google.com/spreadsheets/d/1MMPq-JyI6DSgQETxuSiXkesP-P7JHuemnE6QJIa-Nlw/edit?usp=sharing"",""บุรีรัมย์!N66"")+IMPORTRANGE(""https://docs.google.com/spreadsheets/d/1l6IZ8xUPgMrESzcTYwhA1k_"&amp;"tPjeQjJPTqlm8Gd9eU5g/edit?usp=sharing"",""มหาสารคาม!N66"")+IMPORTRANGE(""https://docs.google.com/spreadsheets/d/1uB74YLqNjWX6FObjekfB2NtSYigTQyR2rq9u4Ub2Sq4/edit?usp=sharing"",""มุกดาหาร!N66"")+IMPORTRANGE(""https://docs.google.com/spreadsheets/d/1NexK3ge"&amp;"CPxCTO1fzNF8dPec7yZyUx3OaWkFBC9HsQOo/edit?usp=sharing"",""ยโสธร!N66"")+IMPORTRANGE(""https://docs.google.com/spreadsheets/d/1v_cJrbBlyqmnHPReHk44g9NrMRdENNlSy_E_c5M9fIg/edit?usp=sharing"",""ร้อยเอ็ด!N66"")+IMPORTRANGE(""https://docs.google.com/spreadsheet"&amp;"s/d/1Ul4RCpCX66NxYADU1QpwAPjOmBzW64SsT11s1wzXw_c/edit?usp=sharing"",""เลย!N66"")+IMPORTRANGE(""https://docs.google.com/spreadsheets/d/1bRrNKwbHDVktQG10isr5vbWRtt5spIZPpkOSWgbT5ug/edit?usp=sharing"",""ศรีสะเกษ!N66"")+IMPORTRANGE(""https://docs.google.com/s"&amp;"preadsheets/d/17P34_Ow5kFBfdQD0qspb2UuPX5zpi6WMrQzslghyvrI/edit?usp=sharing"",""สกลนคร!N66"")+IMPORTRANGE(""https://docs.google.com/spreadsheets/d/1yswqbM3-AEpThF3ZSUa1AcmHnmRTF1vlJ1CZGcJ8YuU/edit?usp=sharing"",""สุรินทร์!N66"")+IMPORTRANGE(""https://docs"&amp;".google.com/spreadsheets/d/13JHU_EFbsQOUQ0JSQ3dWy1VTRosIWcDq6Nc99z2qzdc/edit?usp=sharing"",""หนองคาย!N66"")+IMPORTRANGE(""https://docs.google.com/spreadsheets/d/1Hx73zIEgVdDZZaYSTc46Dqv64atFhpr3GelxLbaIN8A/edit?usp=sharing"",""หนองบัวลำภู!N66"")+IMPORTRAN"&amp;"GE(""https://docs.google.com/spreadsheets/d/1lFxr3ctmjFN90yc-xV6jrQ9Ty8BKYVBWnAZ15wcNIJc/edit?usp=sharing"",""อำนาจเจริญ!N66"")+IMPORTRANGE(""https://docs.google.com/spreadsheets/d/1gF7RJpRnL-1oyjyeWxs5SFWEH7y8ahOZsQlyp2A2e-A/edit?usp=sharing"",""อุดรธานี"&amp;"!N66"")+IMPORTRANGE(""https://docs.google.com/spreadsheets/d/1kfLP0j3INXRa8bTDpcEmoWewMBV61jlFlfzczfjWIgc/edit?usp=sharing"",""อุบลราชธานี!N66"")"),0)</f>
        <v>0</v>
      </c>
      <c r="O66" s="59">
        <f t="shared" ca="1" si="24"/>
        <v>0</v>
      </c>
      <c r="P66" s="59">
        <f t="shared" ca="1" si="25"/>
        <v>0</v>
      </c>
    </row>
    <row r="67" spans="1:16" ht="18.75" x14ac:dyDescent="0.25">
      <c r="A67" s="133"/>
      <c r="B67" s="1"/>
      <c r="C67" s="1"/>
      <c r="D67" s="1"/>
      <c r="E67" s="134" t="s">
        <v>19</v>
      </c>
      <c r="F67" s="1"/>
      <c r="G67" s="135"/>
      <c r="H67" s="136" t="s">
        <v>12</v>
      </c>
      <c r="I67" s="137"/>
      <c r="J67" s="137"/>
      <c r="K67" s="138"/>
      <c r="L67" s="139">
        <f ca="1">IFERROR(__xludf.DUMMYFUNCTION("IMPORTRANGE(""https://docs.google.com/spreadsheets/d/1yhBcrRPreicbMKl9Bu_Snb2-OcQAF62RKfhTLhJ2eAA/edit?usp=sharing"",""กาฬสินธุ์!L67"")+IMPORTRANGE(""https://docs.google.com/spreadsheets/d/1aHkj4IaQMThhwWwevcOymEh837vdxeC_PycurhTbGFA/edit?usp=sharing"","""&amp;"ขอนแก่น!L67"")+IMPORTRANGE(""https://docs.google.com/spreadsheets/d/1FvTu2DsIWUjP6WCWra38Bkj_oOl_sOMf14r5Fg5srxU/edit?usp=sharing"",""ชัยภูมิ!L67"")+IMPORTRANGE(""https://docs.google.com/spreadsheets/d/1XVB7oCJ3pr-vBUdflwPQ8Z2LlzhnCvZaaYjAfP-647E/edit?usp"&amp;"=sharing"",""นครพนม!L67"")+IMPORTRANGE(""https://docs.google.com/spreadsheets/d/1Mnpb-8PYAgn85W6KOTD40hc_Xc55CaLfHoGAbrZ8tls/edit?usp=sharing"",""นครราชสีมา!L67"")+IMPORTRANGE(""https://docs.google.com/spreadsheets/d/1xoDLGBv9CYbyosIhki0kTq6IpYNj-gpjxfobn"&amp;"aDiut0/edit?usp=sharing"",""บึงกาฬ!L67"")+IMPORTRANGE(""https://docs.google.com/spreadsheets/d/1MMPq-JyI6DSgQETxuSiXkesP-P7JHuemnE6QJIa-Nlw/edit?usp=sharing"",""บุรีรัมย์!L67"")+IMPORTRANGE(""https://docs.google.com/spreadsheets/d/1l6IZ8xUPgMrESzcTYwhA1k_"&amp;"tPjeQjJPTqlm8Gd9eU5g/edit?usp=sharing"",""มหาสารคาม!L67"")+IMPORTRANGE(""https://docs.google.com/spreadsheets/d/1uB74YLqNjWX6FObjekfB2NtSYigTQyR2rq9u4Ub2Sq4/edit?usp=sharing"",""มุกดาหาร!L67"")+IMPORTRANGE(""https://docs.google.com/spreadsheets/d/1NexK3ge"&amp;"CPxCTO1fzNF8dPec7yZyUx3OaWkFBC9HsQOo/edit?usp=sharing"",""ยโสธร!L67"")+IMPORTRANGE(""https://docs.google.com/spreadsheets/d/1v_cJrbBlyqmnHPReHk44g9NrMRdENNlSy_E_c5M9fIg/edit?usp=sharing"",""ร้อยเอ็ด!L67"")+IMPORTRANGE(""https://docs.google.com/spreadsheet"&amp;"s/d/1Ul4RCpCX66NxYADU1QpwAPjOmBzW64SsT11s1wzXw_c/edit?usp=sharing"",""เลย!L67"")+IMPORTRANGE(""https://docs.google.com/spreadsheets/d/1bRrNKwbHDVktQG10isr5vbWRtt5spIZPpkOSWgbT5ug/edit?usp=sharing"",""ศรีสะเกษ!L67"")+IMPORTRANGE(""https://docs.google.com/s"&amp;"preadsheets/d/17P34_Ow5kFBfdQD0qspb2UuPX5zpi6WMrQzslghyvrI/edit?usp=sharing"",""สกลนคร!L67"")+IMPORTRANGE(""https://docs.google.com/spreadsheets/d/1yswqbM3-AEpThF3ZSUa1AcmHnmRTF1vlJ1CZGcJ8YuU/edit?usp=sharing"",""สุรินทร์!L67"")+IMPORTRANGE(""https://docs"&amp;".google.com/spreadsheets/d/13JHU_EFbsQOUQ0JSQ3dWy1VTRosIWcDq6Nc99z2qzdc/edit?usp=sharing"",""หนองคาย!L67"")+IMPORTRANGE(""https://docs.google.com/spreadsheets/d/1Hx73zIEgVdDZZaYSTc46Dqv64atFhpr3GelxLbaIN8A/edit?usp=sharing"",""หนองบัวลำภู!L67"")+IMPORTRAN"&amp;"GE(""https://docs.google.com/spreadsheets/d/1lFxr3ctmjFN90yc-xV6jrQ9Ty8BKYVBWnAZ15wcNIJc/edit?usp=sharing"",""อำนาจเจริญ!L67"")+IMPORTRANGE(""https://docs.google.com/spreadsheets/d/1gF7RJpRnL-1oyjyeWxs5SFWEH7y8ahOZsQlyp2A2e-A/edit?usp=sharing"",""อุดรธานี"&amp;"!L67"")+IMPORTRANGE(""https://docs.google.com/spreadsheets/d/1kfLP0j3INXRa8bTDpcEmoWewMBV61jlFlfzczfjWIgc/edit?usp=sharing"",""อุบลราชธานี!L67"")"),0)</f>
        <v>0</v>
      </c>
      <c r="M67" s="139">
        <f ca="1">IFERROR(__xludf.DUMMYFUNCTION("IMPORTRANGE(""https://docs.google.com/spreadsheets/d/1yhBcrRPreicbMKl9Bu_Snb2-OcQAF62RKfhTLhJ2eAA/edit?usp=sharing"",""กาฬสินธุ์!M67"")+IMPORTRANGE(""https://docs.google.com/spreadsheets/d/1aHkj4IaQMThhwWwevcOymEh837vdxeC_PycurhTbGFA/edit?usp=sharing"","""&amp;"ขอนแก่น!M67"")+IMPORTRANGE(""https://docs.google.com/spreadsheets/d/1FvTu2DsIWUjP6WCWra38Bkj_oOl_sOMf14r5Fg5srxU/edit?usp=sharing"",""ชัยภูมิ!M67"")+IMPORTRANGE(""https://docs.google.com/spreadsheets/d/1XVB7oCJ3pr-vBUdflwPQ8Z2LlzhnCvZaaYjAfP-647E/edit?usp"&amp;"=sharing"",""นครพนม!M67"")+IMPORTRANGE(""https://docs.google.com/spreadsheets/d/1Mnpb-8PYAgn85W6KOTD40hc_Xc55CaLfHoGAbrZ8tls/edit?usp=sharing"",""นครราชสีมา!M67"")+IMPORTRANGE(""https://docs.google.com/spreadsheets/d/1xoDLGBv9CYbyosIhki0kTq6IpYNj-gpjxfobn"&amp;"aDiut0/edit?usp=sharing"",""บึงกาฬ!M67"")+IMPORTRANGE(""https://docs.google.com/spreadsheets/d/1MMPq-JyI6DSgQETxuSiXkesP-P7JHuemnE6QJIa-Nlw/edit?usp=sharing"",""บุรีรัมย์!M67"")+IMPORTRANGE(""https://docs.google.com/spreadsheets/d/1l6IZ8xUPgMrESzcTYwhA1k_"&amp;"tPjeQjJPTqlm8Gd9eU5g/edit?usp=sharing"",""มหาสารคาม!M67"")+IMPORTRANGE(""https://docs.google.com/spreadsheets/d/1uB74YLqNjWX6FObjekfB2NtSYigTQyR2rq9u4Ub2Sq4/edit?usp=sharing"",""มุกดาหาร!M67"")+IMPORTRANGE(""https://docs.google.com/spreadsheets/d/1NexK3ge"&amp;"CPxCTO1fzNF8dPec7yZyUx3OaWkFBC9HsQOo/edit?usp=sharing"",""ยโสธร!M67"")+IMPORTRANGE(""https://docs.google.com/spreadsheets/d/1v_cJrbBlyqmnHPReHk44g9NrMRdENNlSy_E_c5M9fIg/edit?usp=sharing"",""ร้อยเอ็ด!M67"")+IMPORTRANGE(""https://docs.google.com/spreadsheet"&amp;"s/d/1Ul4RCpCX66NxYADU1QpwAPjOmBzW64SsT11s1wzXw_c/edit?usp=sharing"",""เลย!M67"")+IMPORTRANGE(""https://docs.google.com/spreadsheets/d/1bRrNKwbHDVktQG10isr5vbWRtt5spIZPpkOSWgbT5ug/edit?usp=sharing"",""ศรีสะเกษ!M67"")+IMPORTRANGE(""https://docs.google.com/s"&amp;"preadsheets/d/17P34_Ow5kFBfdQD0qspb2UuPX5zpi6WMrQzslghyvrI/edit?usp=sharing"",""สกลนคร!M67"")+IMPORTRANGE(""https://docs.google.com/spreadsheets/d/1yswqbM3-AEpThF3ZSUa1AcmHnmRTF1vlJ1CZGcJ8YuU/edit?usp=sharing"",""สุรินทร์!M67"")+IMPORTRANGE(""https://docs"&amp;".google.com/spreadsheets/d/13JHU_EFbsQOUQ0JSQ3dWy1VTRosIWcDq6Nc99z2qzdc/edit?usp=sharing"",""หนองคาย!M67"")+IMPORTRANGE(""https://docs.google.com/spreadsheets/d/1Hx73zIEgVdDZZaYSTc46Dqv64atFhpr3GelxLbaIN8A/edit?usp=sharing"",""หนองบัวลำภู!M67"")+IMPORTRAN"&amp;"GE(""https://docs.google.com/spreadsheets/d/1lFxr3ctmjFN90yc-xV6jrQ9Ty8BKYVBWnAZ15wcNIJc/edit?usp=sharing"",""อำนาจเจริญ!M67"")+IMPORTRANGE(""https://docs.google.com/spreadsheets/d/1gF7RJpRnL-1oyjyeWxs5SFWEH7y8ahOZsQlyp2A2e-A/edit?usp=sharing"",""อุดรธานี"&amp;"!M67"")+IMPORTRANGE(""https://docs.google.com/spreadsheets/d/1kfLP0j3INXRa8bTDpcEmoWewMBV61jlFlfzczfjWIgc/edit?usp=sharing"",""อุบลราชธานี!M67"")"),0)</f>
        <v>0</v>
      </c>
      <c r="N67" s="139">
        <f ca="1">IFERROR(__xludf.DUMMYFUNCTION("IMPORTRANGE(""https://docs.google.com/spreadsheets/d/1yhBcrRPreicbMKl9Bu_Snb2-OcQAF62RKfhTLhJ2eAA/edit?usp=sharing"",""กาฬสินธุ์!N67"")+IMPORTRANGE(""https://docs.google.com/spreadsheets/d/1aHkj4IaQMThhwWwevcOymEh837vdxeC_PycurhTbGFA/edit?usp=sharing"","""&amp;"ขอนแก่น!N67"")+IMPORTRANGE(""https://docs.google.com/spreadsheets/d/1FvTu2DsIWUjP6WCWra38Bkj_oOl_sOMf14r5Fg5srxU/edit?usp=sharing"",""ชัยภูมิ!N67"")+IMPORTRANGE(""https://docs.google.com/spreadsheets/d/1XVB7oCJ3pr-vBUdflwPQ8Z2LlzhnCvZaaYjAfP-647E/edit?usp"&amp;"=sharing"",""นครพนม!N67"")+IMPORTRANGE(""https://docs.google.com/spreadsheets/d/1Mnpb-8PYAgn85W6KOTD40hc_Xc55CaLfHoGAbrZ8tls/edit?usp=sharing"",""นครราชสีมา!N67"")+IMPORTRANGE(""https://docs.google.com/spreadsheets/d/1xoDLGBv9CYbyosIhki0kTq6IpYNj-gpjxfobn"&amp;"aDiut0/edit?usp=sharing"",""บึงกาฬ!N67"")+IMPORTRANGE(""https://docs.google.com/spreadsheets/d/1MMPq-JyI6DSgQETxuSiXkesP-P7JHuemnE6QJIa-Nlw/edit?usp=sharing"",""บุรีรัมย์!N67"")+IMPORTRANGE(""https://docs.google.com/spreadsheets/d/1l6IZ8xUPgMrESzcTYwhA1k_"&amp;"tPjeQjJPTqlm8Gd9eU5g/edit?usp=sharing"",""มหาสารคาม!N67"")+IMPORTRANGE(""https://docs.google.com/spreadsheets/d/1uB74YLqNjWX6FObjekfB2NtSYigTQyR2rq9u4Ub2Sq4/edit?usp=sharing"",""มุกดาหาร!N67"")+IMPORTRANGE(""https://docs.google.com/spreadsheets/d/1NexK3ge"&amp;"CPxCTO1fzNF8dPec7yZyUx3OaWkFBC9HsQOo/edit?usp=sharing"",""ยโสธร!N67"")+IMPORTRANGE(""https://docs.google.com/spreadsheets/d/1v_cJrbBlyqmnHPReHk44g9NrMRdENNlSy_E_c5M9fIg/edit?usp=sharing"",""ร้อยเอ็ด!N67"")+IMPORTRANGE(""https://docs.google.com/spreadsheet"&amp;"s/d/1Ul4RCpCX66NxYADU1QpwAPjOmBzW64SsT11s1wzXw_c/edit?usp=sharing"",""เลย!N67"")+IMPORTRANGE(""https://docs.google.com/spreadsheets/d/1bRrNKwbHDVktQG10isr5vbWRtt5spIZPpkOSWgbT5ug/edit?usp=sharing"",""ศรีสะเกษ!N67"")+IMPORTRANGE(""https://docs.google.com/s"&amp;"preadsheets/d/17P34_Ow5kFBfdQD0qspb2UuPX5zpi6WMrQzslghyvrI/edit?usp=sharing"",""สกลนคร!N67"")+IMPORTRANGE(""https://docs.google.com/spreadsheets/d/1yswqbM3-AEpThF3ZSUa1AcmHnmRTF1vlJ1CZGcJ8YuU/edit?usp=sharing"",""สุรินทร์!N67"")+IMPORTRANGE(""https://docs"&amp;".google.com/spreadsheets/d/13JHU_EFbsQOUQ0JSQ3dWy1VTRosIWcDq6Nc99z2qzdc/edit?usp=sharing"",""หนองคาย!N67"")+IMPORTRANGE(""https://docs.google.com/spreadsheets/d/1Hx73zIEgVdDZZaYSTc46Dqv64atFhpr3GelxLbaIN8A/edit?usp=sharing"",""หนองบัวลำภู!N67"")+IMPORTRAN"&amp;"GE(""https://docs.google.com/spreadsheets/d/1lFxr3ctmjFN90yc-xV6jrQ9Ty8BKYVBWnAZ15wcNIJc/edit?usp=sharing"",""อำนาจเจริญ!N67"")+IMPORTRANGE(""https://docs.google.com/spreadsheets/d/1gF7RJpRnL-1oyjyeWxs5SFWEH7y8ahOZsQlyp2A2e-A/edit?usp=sharing"",""อุดรธานี"&amp;"!N67"")+IMPORTRANGE(""https://docs.google.com/spreadsheets/d/1kfLP0j3INXRa8bTDpcEmoWewMBV61jlFlfzczfjWIgc/edit?usp=sharing"",""อุบลราชธานี!N67"")"),0)</f>
        <v>0</v>
      </c>
      <c r="O67" s="139">
        <f t="shared" ca="1" si="24"/>
        <v>0</v>
      </c>
      <c r="P67" s="139">
        <f t="shared" ca="1" si="25"/>
        <v>0</v>
      </c>
    </row>
    <row r="68" spans="1:16" ht="19.5" x14ac:dyDescent="0.3">
      <c r="A68" s="140" t="s">
        <v>29</v>
      </c>
      <c r="B68" s="141"/>
      <c r="C68" s="141"/>
      <c r="D68" s="141"/>
      <c r="E68" s="142"/>
      <c r="F68" s="142"/>
      <c r="G68" s="142"/>
      <c r="H68" s="142"/>
      <c r="I68" s="143"/>
      <c r="J68" s="143"/>
      <c r="K68" s="144"/>
      <c r="L68" s="144"/>
      <c r="M68" s="144"/>
      <c r="N68" s="144"/>
      <c r="O68" s="144"/>
      <c r="P68" s="145"/>
    </row>
    <row r="69" spans="1:16" ht="19.5" x14ac:dyDescent="0.3">
      <c r="A69" s="146" t="s">
        <v>30</v>
      </c>
      <c r="B69" s="147"/>
      <c r="C69" s="148"/>
      <c r="D69" s="147"/>
      <c r="E69" s="147"/>
      <c r="F69" s="147"/>
      <c r="G69" s="149"/>
      <c r="H69" s="149"/>
      <c r="I69" s="150"/>
      <c r="J69" s="150"/>
      <c r="K69" s="151"/>
      <c r="L69" s="151"/>
      <c r="M69" s="151"/>
      <c r="N69" s="151"/>
      <c r="O69" s="151"/>
      <c r="P69" s="151"/>
    </row>
    <row r="70" spans="1:16" ht="19.5" x14ac:dyDescent="0.3">
      <c r="A70" s="152"/>
      <c r="B70" s="153" t="s">
        <v>31</v>
      </c>
      <c r="C70" s="41"/>
      <c r="D70" s="154"/>
      <c r="E70" s="41"/>
      <c r="F70" s="41"/>
      <c r="G70" s="44"/>
      <c r="H70" s="155" t="s">
        <v>32</v>
      </c>
      <c r="I70" s="156">
        <f t="shared" ref="I70:J70" ca="1" si="30">I82</f>
        <v>6</v>
      </c>
      <c r="J70" s="156">
        <f t="shared" ca="1" si="30"/>
        <v>1</v>
      </c>
      <c r="K70" s="48">
        <f t="shared" ref="K70:K71" ca="1" si="31">IF(I70&gt;0,J70*100/I70,0)</f>
        <v>16.666666666666668</v>
      </c>
      <c r="L70" s="47"/>
      <c r="M70" s="47"/>
      <c r="N70" s="47"/>
      <c r="O70" s="47"/>
      <c r="P70" s="47"/>
    </row>
    <row r="71" spans="1:16" ht="19.5" x14ac:dyDescent="0.3">
      <c r="A71" s="152"/>
      <c r="B71" s="41"/>
      <c r="C71" s="41"/>
      <c r="D71" s="154"/>
      <c r="E71" s="41"/>
      <c r="F71" s="41"/>
      <c r="G71" s="44"/>
      <c r="H71" s="155" t="s">
        <v>33</v>
      </c>
      <c r="I71" s="156">
        <f t="shared" ref="I71:J71" ca="1" si="32">I83</f>
        <v>306</v>
      </c>
      <c r="J71" s="156">
        <f t="shared" ca="1" si="32"/>
        <v>34</v>
      </c>
      <c r="K71" s="48">
        <f t="shared" ca="1" si="31"/>
        <v>11.111111111111111</v>
      </c>
      <c r="L71" s="47"/>
      <c r="M71" s="47"/>
      <c r="N71" s="47"/>
      <c r="O71" s="47"/>
      <c r="P71" s="47"/>
    </row>
    <row r="72" spans="1:16" ht="19.5" x14ac:dyDescent="0.3">
      <c r="A72" s="157"/>
      <c r="B72" s="53"/>
      <c r="C72" s="158" t="s">
        <v>16</v>
      </c>
      <c r="D72" s="159" t="s">
        <v>17</v>
      </c>
      <c r="E72" s="53"/>
      <c r="F72" s="53"/>
      <c r="G72" s="55"/>
      <c r="H72" s="160" t="s">
        <v>12</v>
      </c>
      <c r="I72" s="57"/>
      <c r="J72" s="57"/>
      <c r="K72" s="58"/>
      <c r="L72" s="161">
        <f t="shared" ref="L72:N72" ca="1" si="33">L73+L74</f>
        <v>2912200</v>
      </c>
      <c r="M72" s="161">
        <f t="shared" ca="1" si="33"/>
        <v>2590300</v>
      </c>
      <c r="N72" s="161">
        <f t="shared" ca="1" si="33"/>
        <v>707186.05999999901</v>
      </c>
      <c r="O72" s="161">
        <f t="shared" ref="O72:O80" ca="1" si="34">IF(L72&gt;0,N72*100/L72,0)</f>
        <v>24.283567749467721</v>
      </c>
      <c r="P72" s="161">
        <f t="shared" ref="P72:P80" ca="1" si="35">IF(M72&gt;0,N72*100/M72,0)</f>
        <v>27.301318766166041</v>
      </c>
    </row>
    <row r="73" spans="1:16" ht="18.75" x14ac:dyDescent="0.25">
      <c r="A73" s="157"/>
      <c r="B73" s="53"/>
      <c r="C73" s="53"/>
      <c r="D73" s="53"/>
      <c r="E73" s="60" t="s">
        <v>18</v>
      </c>
      <c r="F73" s="53"/>
      <c r="G73" s="55"/>
      <c r="H73" s="162" t="s">
        <v>12</v>
      </c>
      <c r="I73" s="57"/>
      <c r="J73" s="57"/>
      <c r="K73" s="58"/>
      <c r="L73" s="59">
        <f t="shared" ref="L73:N73" ca="1" si="36">L76+L79</f>
        <v>0</v>
      </c>
      <c r="M73" s="59">
        <f t="shared" ca="1" si="36"/>
        <v>0</v>
      </c>
      <c r="N73" s="59">
        <f t="shared" ca="1" si="36"/>
        <v>0</v>
      </c>
      <c r="O73" s="59">
        <f t="shared" ca="1" si="34"/>
        <v>0</v>
      </c>
      <c r="P73" s="59">
        <f t="shared" ca="1" si="35"/>
        <v>0</v>
      </c>
    </row>
    <row r="74" spans="1:16" ht="18.75" x14ac:dyDescent="0.25">
      <c r="A74" s="157"/>
      <c r="B74" s="53"/>
      <c r="C74" s="53"/>
      <c r="D74" s="53"/>
      <c r="E74" s="60" t="s">
        <v>19</v>
      </c>
      <c r="F74" s="53"/>
      <c r="G74" s="55"/>
      <c r="H74" s="162" t="s">
        <v>12</v>
      </c>
      <c r="I74" s="57"/>
      <c r="J74" s="57"/>
      <c r="K74" s="58"/>
      <c r="L74" s="59">
        <f t="shared" ref="L74:N74" ca="1" si="37">L77+L80</f>
        <v>2912200</v>
      </c>
      <c r="M74" s="59">
        <f t="shared" ca="1" si="37"/>
        <v>2590300</v>
      </c>
      <c r="N74" s="59">
        <f t="shared" ca="1" si="37"/>
        <v>707186.05999999901</v>
      </c>
      <c r="O74" s="59">
        <f t="shared" ca="1" si="34"/>
        <v>24.283567749467721</v>
      </c>
      <c r="P74" s="59">
        <f t="shared" ca="1" si="35"/>
        <v>27.301318766166041</v>
      </c>
    </row>
    <row r="75" spans="1:16" ht="18.75" x14ac:dyDescent="0.25">
      <c r="A75" s="157"/>
      <c r="B75" s="53"/>
      <c r="C75" s="53"/>
      <c r="D75" s="54" t="s">
        <v>20</v>
      </c>
      <c r="E75" s="53"/>
      <c r="F75" s="53"/>
      <c r="G75" s="55"/>
      <c r="H75" s="163" t="s">
        <v>12</v>
      </c>
      <c r="I75" s="164"/>
      <c r="J75" s="164"/>
      <c r="K75" s="165"/>
      <c r="L75" s="59">
        <f t="shared" ref="L75:N75" ca="1" si="38">L76+L77</f>
        <v>2912200</v>
      </c>
      <c r="M75" s="59">
        <f t="shared" ca="1" si="38"/>
        <v>2590300</v>
      </c>
      <c r="N75" s="59">
        <f t="shared" ca="1" si="38"/>
        <v>707186.05999999901</v>
      </c>
      <c r="O75" s="59">
        <f t="shared" ca="1" si="34"/>
        <v>24.283567749467721</v>
      </c>
      <c r="P75" s="59">
        <f t="shared" ca="1" si="35"/>
        <v>27.301318766166041</v>
      </c>
    </row>
    <row r="76" spans="1:16" ht="18.75" x14ac:dyDescent="0.25">
      <c r="A76" s="157"/>
      <c r="B76" s="53"/>
      <c r="C76" s="53"/>
      <c r="D76" s="53"/>
      <c r="E76" s="60" t="s">
        <v>34</v>
      </c>
      <c r="F76" s="53"/>
      <c r="G76" s="55"/>
      <c r="H76" s="163" t="s">
        <v>12</v>
      </c>
      <c r="I76" s="164"/>
      <c r="J76" s="164"/>
      <c r="K76" s="165"/>
      <c r="L76" s="59">
        <f ca="1">IFERROR(__xludf.DUMMYFUNCTION("IMPORTRANGE(""https://docs.google.com/spreadsheets/d/1yhBcrRPreicbMKl9Bu_Snb2-OcQAF62RKfhTLhJ2eAA/edit?usp=sharing"",""กาฬสินธุ์!L76"")+IMPORTRANGE(""https://docs.google.com/spreadsheets/d/1aHkj4IaQMThhwWwevcOymEh837vdxeC_PycurhTbGFA/edit?usp=sharing"","""&amp;"ขอนแก่น!L76"")+IMPORTRANGE(""https://docs.google.com/spreadsheets/d/1FvTu2DsIWUjP6WCWra38Bkj_oOl_sOMf14r5Fg5srxU/edit?usp=sharing"",""ชัยภูมิ!L76"")+IMPORTRANGE(""https://docs.google.com/spreadsheets/d/1XVB7oCJ3pr-vBUdflwPQ8Z2LlzhnCvZaaYjAfP-647E/edit?usp"&amp;"=sharing"",""นครพนม!L76"")+IMPORTRANGE(""https://docs.google.com/spreadsheets/d/1Mnpb-8PYAgn85W6KOTD40hc_Xc55CaLfHoGAbrZ8tls/edit?usp=sharing"",""นครราชสีมา!L76"")+IMPORTRANGE(""https://docs.google.com/spreadsheets/d/1xoDLGBv9CYbyosIhki0kTq6IpYNj-gpjxfobn"&amp;"aDiut0/edit?usp=sharing"",""บึงกาฬ!L76"")+IMPORTRANGE(""https://docs.google.com/spreadsheets/d/1MMPq-JyI6DSgQETxuSiXkesP-P7JHuemnE6QJIa-Nlw/edit?usp=sharing"",""บุรีรัมย์!L76"")+IMPORTRANGE(""https://docs.google.com/spreadsheets/d/1l6IZ8xUPgMrESzcTYwhA1k_"&amp;"tPjeQjJPTqlm8Gd9eU5g/edit?usp=sharing"",""มหาสารคาม!L76"")+IMPORTRANGE(""https://docs.google.com/spreadsheets/d/1uB74YLqNjWX6FObjekfB2NtSYigTQyR2rq9u4Ub2Sq4/edit?usp=sharing"",""มุกดาหาร!L76"")+IMPORTRANGE(""https://docs.google.com/spreadsheets/d/1NexK3ge"&amp;"CPxCTO1fzNF8dPec7yZyUx3OaWkFBC9HsQOo/edit?usp=sharing"",""ยโสธร!L76"")+IMPORTRANGE(""https://docs.google.com/spreadsheets/d/1v_cJrbBlyqmnHPReHk44g9NrMRdENNlSy_E_c5M9fIg/edit?usp=sharing"",""ร้อยเอ็ด!L76"")+IMPORTRANGE(""https://docs.google.com/spreadsheet"&amp;"s/d/1Ul4RCpCX66NxYADU1QpwAPjOmBzW64SsT11s1wzXw_c/edit?usp=sharing"",""เลย!L76"")+IMPORTRANGE(""https://docs.google.com/spreadsheets/d/1bRrNKwbHDVktQG10isr5vbWRtt5spIZPpkOSWgbT5ug/edit?usp=sharing"",""ศรีสะเกษ!L76"")+IMPORTRANGE(""https://docs.google.com/s"&amp;"preadsheets/d/17P34_Ow5kFBfdQD0qspb2UuPX5zpi6WMrQzslghyvrI/edit?usp=sharing"",""สกลนคร!L76"")+IMPORTRANGE(""https://docs.google.com/spreadsheets/d/1yswqbM3-AEpThF3ZSUa1AcmHnmRTF1vlJ1CZGcJ8YuU/edit?usp=sharing"",""สุรินทร์!L76"")+IMPORTRANGE(""https://docs"&amp;".google.com/spreadsheets/d/13JHU_EFbsQOUQ0JSQ3dWy1VTRosIWcDq6Nc99z2qzdc/edit?usp=sharing"",""หนองคาย!L76"")+IMPORTRANGE(""https://docs.google.com/spreadsheets/d/1Hx73zIEgVdDZZaYSTc46Dqv64atFhpr3GelxLbaIN8A/edit?usp=sharing"",""หนองบัวลำภู!L76"")+IMPORTRAN"&amp;"GE(""https://docs.google.com/spreadsheets/d/1lFxr3ctmjFN90yc-xV6jrQ9Ty8BKYVBWnAZ15wcNIJc/edit?usp=sharing"",""อำนาจเจริญ!L76"")+IMPORTRANGE(""https://docs.google.com/spreadsheets/d/1gF7RJpRnL-1oyjyeWxs5SFWEH7y8ahOZsQlyp2A2e-A/edit?usp=sharing"",""อุดรธานี"&amp;"!L76"")+IMPORTRANGE(""https://docs.google.com/spreadsheets/d/1kfLP0j3INXRa8bTDpcEmoWewMBV61jlFlfzczfjWIgc/edit?usp=sharing"",""อุบลราชธานี!L76"")"),0)</f>
        <v>0</v>
      </c>
      <c r="M76" s="59">
        <f ca="1">IFERROR(__xludf.DUMMYFUNCTION("IMPORTRANGE(""https://docs.google.com/spreadsheets/d/1yhBcrRPreicbMKl9Bu_Snb2-OcQAF62RKfhTLhJ2eAA/edit?usp=sharing"",""กาฬสินธุ์!M76"")+IMPORTRANGE(""https://docs.google.com/spreadsheets/d/1aHkj4IaQMThhwWwevcOymEh837vdxeC_PycurhTbGFA/edit?usp=sharing"","""&amp;"ขอนแก่น!M76"")+IMPORTRANGE(""https://docs.google.com/spreadsheets/d/1FvTu2DsIWUjP6WCWra38Bkj_oOl_sOMf14r5Fg5srxU/edit?usp=sharing"",""ชัยภูมิ!M76"")+IMPORTRANGE(""https://docs.google.com/spreadsheets/d/1XVB7oCJ3pr-vBUdflwPQ8Z2LlzhnCvZaaYjAfP-647E/edit?usp"&amp;"=sharing"",""นครพนม!M76"")+IMPORTRANGE(""https://docs.google.com/spreadsheets/d/1Mnpb-8PYAgn85W6KOTD40hc_Xc55CaLfHoGAbrZ8tls/edit?usp=sharing"",""นครราชสีมา!M76"")+IMPORTRANGE(""https://docs.google.com/spreadsheets/d/1xoDLGBv9CYbyosIhki0kTq6IpYNj-gpjxfobn"&amp;"aDiut0/edit?usp=sharing"",""บึงกาฬ!M76"")+IMPORTRANGE(""https://docs.google.com/spreadsheets/d/1MMPq-JyI6DSgQETxuSiXkesP-P7JHuemnE6QJIa-Nlw/edit?usp=sharing"",""บุรีรัมย์!M76"")+IMPORTRANGE(""https://docs.google.com/spreadsheets/d/1l6IZ8xUPgMrESzcTYwhA1k_"&amp;"tPjeQjJPTqlm8Gd9eU5g/edit?usp=sharing"",""มหาสารคาม!M76"")+IMPORTRANGE(""https://docs.google.com/spreadsheets/d/1uB74YLqNjWX6FObjekfB2NtSYigTQyR2rq9u4Ub2Sq4/edit?usp=sharing"",""มุกดาหาร!M76"")+IMPORTRANGE(""https://docs.google.com/spreadsheets/d/1NexK3ge"&amp;"CPxCTO1fzNF8dPec7yZyUx3OaWkFBC9HsQOo/edit?usp=sharing"",""ยโสธร!M76"")+IMPORTRANGE(""https://docs.google.com/spreadsheets/d/1v_cJrbBlyqmnHPReHk44g9NrMRdENNlSy_E_c5M9fIg/edit?usp=sharing"",""ร้อยเอ็ด!M76"")+IMPORTRANGE(""https://docs.google.com/spreadsheet"&amp;"s/d/1Ul4RCpCX66NxYADU1QpwAPjOmBzW64SsT11s1wzXw_c/edit?usp=sharing"",""เลย!M76"")+IMPORTRANGE(""https://docs.google.com/spreadsheets/d/1bRrNKwbHDVktQG10isr5vbWRtt5spIZPpkOSWgbT5ug/edit?usp=sharing"",""ศรีสะเกษ!M76"")+IMPORTRANGE(""https://docs.google.com/s"&amp;"preadsheets/d/17P34_Ow5kFBfdQD0qspb2UuPX5zpi6WMrQzslghyvrI/edit?usp=sharing"",""สกลนคร!M76"")+IMPORTRANGE(""https://docs.google.com/spreadsheets/d/1yswqbM3-AEpThF3ZSUa1AcmHnmRTF1vlJ1CZGcJ8YuU/edit?usp=sharing"",""สุรินทร์!M76"")+IMPORTRANGE(""https://docs"&amp;".google.com/spreadsheets/d/13JHU_EFbsQOUQ0JSQ3dWy1VTRosIWcDq6Nc99z2qzdc/edit?usp=sharing"",""หนองคาย!M76"")+IMPORTRANGE(""https://docs.google.com/spreadsheets/d/1Hx73zIEgVdDZZaYSTc46Dqv64atFhpr3GelxLbaIN8A/edit?usp=sharing"",""หนองบัวลำภู!M76"")+IMPORTRAN"&amp;"GE(""https://docs.google.com/spreadsheets/d/1lFxr3ctmjFN90yc-xV6jrQ9Ty8BKYVBWnAZ15wcNIJc/edit?usp=sharing"",""อำนาจเจริญ!M76"")+IMPORTRANGE(""https://docs.google.com/spreadsheets/d/1gF7RJpRnL-1oyjyeWxs5SFWEH7y8ahOZsQlyp2A2e-A/edit?usp=sharing"",""อุดรธานี"&amp;"!M76"")+IMPORTRANGE(""https://docs.google.com/spreadsheets/d/1kfLP0j3INXRa8bTDpcEmoWewMBV61jlFlfzczfjWIgc/edit?usp=sharing"",""อุบลราชธานี!M76"")"),0)</f>
        <v>0</v>
      </c>
      <c r="N76" s="59">
        <f ca="1">IFERROR(__xludf.DUMMYFUNCTION("IMPORTRANGE(""https://docs.google.com/spreadsheets/d/1yhBcrRPreicbMKl9Bu_Snb2-OcQAF62RKfhTLhJ2eAA/edit?usp=sharing"",""กาฬสินธุ์!N76"")+IMPORTRANGE(""https://docs.google.com/spreadsheets/d/1aHkj4IaQMThhwWwevcOymEh837vdxeC_PycurhTbGFA/edit?usp=sharing"","""&amp;"ขอนแก่น!N76"")+IMPORTRANGE(""https://docs.google.com/spreadsheets/d/1FvTu2DsIWUjP6WCWra38Bkj_oOl_sOMf14r5Fg5srxU/edit?usp=sharing"",""ชัยภูมิ!N76"")+IMPORTRANGE(""https://docs.google.com/spreadsheets/d/1XVB7oCJ3pr-vBUdflwPQ8Z2LlzhnCvZaaYjAfP-647E/edit?usp"&amp;"=sharing"",""นครพนม!N76"")+IMPORTRANGE(""https://docs.google.com/spreadsheets/d/1Mnpb-8PYAgn85W6KOTD40hc_Xc55CaLfHoGAbrZ8tls/edit?usp=sharing"",""นครราชสีมา!N76"")+IMPORTRANGE(""https://docs.google.com/spreadsheets/d/1xoDLGBv9CYbyosIhki0kTq6IpYNj-gpjxfobn"&amp;"aDiut0/edit?usp=sharing"",""บึงกาฬ!N76"")+IMPORTRANGE(""https://docs.google.com/spreadsheets/d/1MMPq-JyI6DSgQETxuSiXkesP-P7JHuemnE6QJIa-Nlw/edit?usp=sharing"",""บุรีรัมย์!N76"")+IMPORTRANGE(""https://docs.google.com/spreadsheets/d/1l6IZ8xUPgMrESzcTYwhA1k_"&amp;"tPjeQjJPTqlm8Gd9eU5g/edit?usp=sharing"",""มหาสารคาม!N76"")+IMPORTRANGE(""https://docs.google.com/spreadsheets/d/1uB74YLqNjWX6FObjekfB2NtSYigTQyR2rq9u4Ub2Sq4/edit?usp=sharing"",""มุกดาหาร!N76"")+IMPORTRANGE(""https://docs.google.com/spreadsheets/d/1NexK3ge"&amp;"CPxCTO1fzNF8dPec7yZyUx3OaWkFBC9HsQOo/edit?usp=sharing"",""ยโสธร!N76"")+IMPORTRANGE(""https://docs.google.com/spreadsheets/d/1v_cJrbBlyqmnHPReHk44g9NrMRdENNlSy_E_c5M9fIg/edit?usp=sharing"",""ร้อยเอ็ด!N76"")+IMPORTRANGE(""https://docs.google.com/spreadsheet"&amp;"s/d/1Ul4RCpCX66NxYADU1QpwAPjOmBzW64SsT11s1wzXw_c/edit?usp=sharing"",""เลย!N76"")+IMPORTRANGE(""https://docs.google.com/spreadsheets/d/1bRrNKwbHDVktQG10isr5vbWRtt5spIZPpkOSWgbT5ug/edit?usp=sharing"",""ศรีสะเกษ!N76"")+IMPORTRANGE(""https://docs.google.com/s"&amp;"preadsheets/d/17P34_Ow5kFBfdQD0qspb2UuPX5zpi6WMrQzslghyvrI/edit?usp=sharing"",""สกลนคร!N76"")+IMPORTRANGE(""https://docs.google.com/spreadsheets/d/1yswqbM3-AEpThF3ZSUa1AcmHnmRTF1vlJ1CZGcJ8YuU/edit?usp=sharing"",""สุรินทร์!N76"")+IMPORTRANGE(""https://docs"&amp;".google.com/spreadsheets/d/13JHU_EFbsQOUQ0JSQ3dWy1VTRosIWcDq6Nc99z2qzdc/edit?usp=sharing"",""หนองคาย!N76"")+IMPORTRANGE(""https://docs.google.com/spreadsheets/d/1Hx73zIEgVdDZZaYSTc46Dqv64atFhpr3GelxLbaIN8A/edit?usp=sharing"",""หนองบัวลำภู!N76"")+IMPORTRAN"&amp;"GE(""https://docs.google.com/spreadsheets/d/1lFxr3ctmjFN90yc-xV6jrQ9Ty8BKYVBWnAZ15wcNIJc/edit?usp=sharing"",""อำนาจเจริญ!N76"")+IMPORTRANGE(""https://docs.google.com/spreadsheets/d/1gF7RJpRnL-1oyjyeWxs5SFWEH7y8ahOZsQlyp2A2e-A/edit?usp=sharing"",""อุดรธานี"&amp;"!N76"")+IMPORTRANGE(""https://docs.google.com/spreadsheets/d/1kfLP0j3INXRa8bTDpcEmoWewMBV61jlFlfzczfjWIgc/edit?usp=sharing"",""อุบลราชธานี!N76"")"),0)</f>
        <v>0</v>
      </c>
      <c r="O76" s="59">
        <f t="shared" ca="1" si="34"/>
        <v>0</v>
      </c>
      <c r="P76" s="59">
        <f t="shared" ca="1" si="35"/>
        <v>0</v>
      </c>
    </row>
    <row r="77" spans="1:16" ht="18.75" x14ac:dyDescent="0.25">
      <c r="A77" s="157"/>
      <c r="B77" s="53"/>
      <c r="C77" s="53"/>
      <c r="D77" s="53"/>
      <c r="E77" s="60" t="s">
        <v>35</v>
      </c>
      <c r="F77" s="53"/>
      <c r="G77" s="55"/>
      <c r="H77" s="163" t="s">
        <v>12</v>
      </c>
      <c r="I77" s="164"/>
      <c r="J77" s="164"/>
      <c r="K77" s="165"/>
      <c r="L77" s="59">
        <f ca="1">IFERROR(__xludf.DUMMYFUNCTION("IMPORTRANGE(""https://docs.google.com/spreadsheets/d/1yhBcrRPreicbMKl9Bu_Snb2-OcQAF62RKfhTLhJ2eAA/edit?usp=sharing"",""กาฬสินธุ์!L77"")+IMPORTRANGE(""https://docs.google.com/spreadsheets/d/1aHkj4IaQMThhwWwevcOymEh837vdxeC_PycurhTbGFA/edit?usp=sharing"","""&amp;"ขอนแก่น!L77"")+IMPORTRANGE(""https://docs.google.com/spreadsheets/d/1FvTu2DsIWUjP6WCWra38Bkj_oOl_sOMf14r5Fg5srxU/edit?usp=sharing"",""ชัยภูมิ!L77"")+IMPORTRANGE(""https://docs.google.com/spreadsheets/d/1XVB7oCJ3pr-vBUdflwPQ8Z2LlzhnCvZaaYjAfP-647E/edit?usp"&amp;"=sharing"",""นครพนม!L77"")+IMPORTRANGE(""https://docs.google.com/spreadsheets/d/1Mnpb-8PYAgn85W6KOTD40hc_Xc55CaLfHoGAbrZ8tls/edit?usp=sharing"",""นครราชสีมา!L77"")+IMPORTRANGE(""https://docs.google.com/spreadsheets/d/1xoDLGBv9CYbyosIhki0kTq6IpYNj-gpjxfobn"&amp;"aDiut0/edit?usp=sharing"",""บึงกาฬ!L77"")+IMPORTRANGE(""https://docs.google.com/spreadsheets/d/1MMPq-JyI6DSgQETxuSiXkesP-P7JHuemnE6QJIa-Nlw/edit?usp=sharing"",""บุรีรัมย์!L77"")+IMPORTRANGE(""https://docs.google.com/spreadsheets/d/1l6IZ8xUPgMrESzcTYwhA1k_"&amp;"tPjeQjJPTqlm8Gd9eU5g/edit?usp=sharing"",""มหาสารคาม!L77"")+IMPORTRANGE(""https://docs.google.com/spreadsheets/d/1uB74YLqNjWX6FObjekfB2NtSYigTQyR2rq9u4Ub2Sq4/edit?usp=sharing"",""มุกดาหาร!L77"")+IMPORTRANGE(""https://docs.google.com/spreadsheets/d/1NexK3ge"&amp;"CPxCTO1fzNF8dPec7yZyUx3OaWkFBC9HsQOo/edit?usp=sharing"",""ยโสธร!L77"")+IMPORTRANGE(""https://docs.google.com/spreadsheets/d/1v_cJrbBlyqmnHPReHk44g9NrMRdENNlSy_E_c5M9fIg/edit?usp=sharing"",""ร้อยเอ็ด!L77"")+IMPORTRANGE(""https://docs.google.com/spreadsheet"&amp;"s/d/1Ul4RCpCX66NxYADU1QpwAPjOmBzW64SsT11s1wzXw_c/edit?usp=sharing"",""เลย!L77"")+IMPORTRANGE(""https://docs.google.com/spreadsheets/d/1bRrNKwbHDVktQG10isr5vbWRtt5spIZPpkOSWgbT5ug/edit?usp=sharing"",""ศรีสะเกษ!L77"")+IMPORTRANGE(""https://docs.google.com/s"&amp;"preadsheets/d/17P34_Ow5kFBfdQD0qspb2UuPX5zpi6WMrQzslghyvrI/edit?usp=sharing"",""สกลนคร!L77"")+IMPORTRANGE(""https://docs.google.com/spreadsheets/d/1yswqbM3-AEpThF3ZSUa1AcmHnmRTF1vlJ1CZGcJ8YuU/edit?usp=sharing"",""สุรินทร์!L77"")+IMPORTRANGE(""https://docs"&amp;".google.com/spreadsheets/d/13JHU_EFbsQOUQ0JSQ3dWy1VTRosIWcDq6Nc99z2qzdc/edit?usp=sharing"",""หนองคาย!L77"")+IMPORTRANGE(""https://docs.google.com/spreadsheets/d/1Hx73zIEgVdDZZaYSTc46Dqv64atFhpr3GelxLbaIN8A/edit?usp=sharing"",""หนองบัวลำภู!L77"")+IMPORTRAN"&amp;"GE(""https://docs.google.com/spreadsheets/d/1lFxr3ctmjFN90yc-xV6jrQ9Ty8BKYVBWnAZ15wcNIJc/edit?usp=sharing"",""อำนาจเจริญ!L77"")+IMPORTRANGE(""https://docs.google.com/spreadsheets/d/1gF7RJpRnL-1oyjyeWxs5SFWEH7y8ahOZsQlyp2A2e-A/edit?usp=sharing"",""อุดรธานี"&amp;"!L77"")+IMPORTRANGE(""https://docs.google.com/spreadsheets/d/1kfLP0j3INXRa8bTDpcEmoWewMBV61jlFlfzczfjWIgc/edit?usp=sharing"",""อุบลราชธานี!L77"")"),2912200)</f>
        <v>2912200</v>
      </c>
      <c r="M77" s="59">
        <f ca="1">IFERROR(__xludf.DUMMYFUNCTION("IMPORTRANGE(""https://docs.google.com/spreadsheets/d/1yhBcrRPreicbMKl9Bu_Snb2-OcQAF62RKfhTLhJ2eAA/edit?usp=sharing"",""กาฬสินธุ์!M77"")+IMPORTRANGE(""https://docs.google.com/spreadsheets/d/1aHkj4IaQMThhwWwevcOymEh837vdxeC_PycurhTbGFA/edit?usp=sharing"","""&amp;"ขอนแก่น!M77"")+IMPORTRANGE(""https://docs.google.com/spreadsheets/d/1FvTu2DsIWUjP6WCWra38Bkj_oOl_sOMf14r5Fg5srxU/edit?usp=sharing"",""ชัยภูมิ!M77"")+IMPORTRANGE(""https://docs.google.com/spreadsheets/d/1XVB7oCJ3pr-vBUdflwPQ8Z2LlzhnCvZaaYjAfP-647E/edit?usp"&amp;"=sharing"",""นครพนม!M77"")+IMPORTRANGE(""https://docs.google.com/spreadsheets/d/1Mnpb-8PYAgn85W6KOTD40hc_Xc55CaLfHoGAbrZ8tls/edit?usp=sharing"",""นครราชสีมา!M77"")+IMPORTRANGE(""https://docs.google.com/spreadsheets/d/1xoDLGBv9CYbyosIhki0kTq6IpYNj-gpjxfobn"&amp;"aDiut0/edit?usp=sharing"",""บึงกาฬ!M77"")+IMPORTRANGE(""https://docs.google.com/spreadsheets/d/1MMPq-JyI6DSgQETxuSiXkesP-P7JHuemnE6QJIa-Nlw/edit?usp=sharing"",""บุรีรัมย์!M77"")+IMPORTRANGE(""https://docs.google.com/spreadsheets/d/1l6IZ8xUPgMrESzcTYwhA1k_"&amp;"tPjeQjJPTqlm8Gd9eU5g/edit?usp=sharing"",""มหาสารคาม!M77"")+IMPORTRANGE(""https://docs.google.com/spreadsheets/d/1uB74YLqNjWX6FObjekfB2NtSYigTQyR2rq9u4Ub2Sq4/edit?usp=sharing"",""มุกดาหาร!M77"")+IMPORTRANGE(""https://docs.google.com/spreadsheets/d/1NexK3ge"&amp;"CPxCTO1fzNF8dPec7yZyUx3OaWkFBC9HsQOo/edit?usp=sharing"",""ยโสธร!M77"")+IMPORTRANGE(""https://docs.google.com/spreadsheets/d/1v_cJrbBlyqmnHPReHk44g9NrMRdENNlSy_E_c5M9fIg/edit?usp=sharing"",""ร้อยเอ็ด!M77"")+IMPORTRANGE(""https://docs.google.com/spreadsheet"&amp;"s/d/1Ul4RCpCX66NxYADU1QpwAPjOmBzW64SsT11s1wzXw_c/edit?usp=sharing"",""เลย!M77"")+IMPORTRANGE(""https://docs.google.com/spreadsheets/d/1bRrNKwbHDVktQG10isr5vbWRtt5spIZPpkOSWgbT5ug/edit?usp=sharing"",""ศรีสะเกษ!M77"")+IMPORTRANGE(""https://docs.google.com/s"&amp;"preadsheets/d/17P34_Ow5kFBfdQD0qspb2UuPX5zpi6WMrQzslghyvrI/edit?usp=sharing"",""สกลนคร!M77"")+IMPORTRANGE(""https://docs.google.com/spreadsheets/d/1yswqbM3-AEpThF3ZSUa1AcmHnmRTF1vlJ1CZGcJ8YuU/edit?usp=sharing"",""สุรินทร์!M77"")+IMPORTRANGE(""https://docs"&amp;".google.com/spreadsheets/d/13JHU_EFbsQOUQ0JSQ3dWy1VTRosIWcDq6Nc99z2qzdc/edit?usp=sharing"",""หนองคาย!M77"")+IMPORTRANGE(""https://docs.google.com/spreadsheets/d/1Hx73zIEgVdDZZaYSTc46Dqv64atFhpr3GelxLbaIN8A/edit?usp=sharing"",""หนองบัวลำภู!M77"")+IMPORTRAN"&amp;"GE(""https://docs.google.com/spreadsheets/d/1lFxr3ctmjFN90yc-xV6jrQ9Ty8BKYVBWnAZ15wcNIJc/edit?usp=sharing"",""อำนาจเจริญ!M77"")+IMPORTRANGE(""https://docs.google.com/spreadsheets/d/1gF7RJpRnL-1oyjyeWxs5SFWEH7y8ahOZsQlyp2A2e-A/edit?usp=sharing"",""อุดรธานี"&amp;"!M77"")+IMPORTRANGE(""https://docs.google.com/spreadsheets/d/1kfLP0j3INXRa8bTDpcEmoWewMBV61jlFlfzczfjWIgc/edit?usp=sharing"",""อุบลราชธานี!M77"")"),2590300)</f>
        <v>2590300</v>
      </c>
      <c r="N77" s="59">
        <f ca="1">IFERROR(__xludf.DUMMYFUNCTION("IMPORTRANGE(""https://docs.google.com/spreadsheets/d/1yhBcrRPreicbMKl9Bu_Snb2-OcQAF62RKfhTLhJ2eAA/edit?usp=sharing"",""กาฬสินธุ์!N77"")+IMPORTRANGE(""https://docs.google.com/spreadsheets/d/1aHkj4IaQMThhwWwevcOymEh837vdxeC_PycurhTbGFA/edit?usp=sharing"","""&amp;"ขอนแก่น!N77"")+IMPORTRANGE(""https://docs.google.com/spreadsheets/d/1FvTu2DsIWUjP6WCWra38Bkj_oOl_sOMf14r5Fg5srxU/edit?usp=sharing"",""ชัยภูมิ!N77"")+IMPORTRANGE(""https://docs.google.com/spreadsheets/d/1XVB7oCJ3pr-vBUdflwPQ8Z2LlzhnCvZaaYjAfP-647E/edit?usp"&amp;"=sharing"",""นครพนม!N77"")+IMPORTRANGE(""https://docs.google.com/spreadsheets/d/1Mnpb-8PYAgn85W6KOTD40hc_Xc55CaLfHoGAbrZ8tls/edit?usp=sharing"",""นครราชสีมา!N77"")+IMPORTRANGE(""https://docs.google.com/spreadsheets/d/1xoDLGBv9CYbyosIhki0kTq6IpYNj-gpjxfobn"&amp;"aDiut0/edit?usp=sharing"",""บึงกาฬ!N77"")+IMPORTRANGE(""https://docs.google.com/spreadsheets/d/1MMPq-JyI6DSgQETxuSiXkesP-P7JHuemnE6QJIa-Nlw/edit?usp=sharing"",""บุรีรัมย์!N77"")+IMPORTRANGE(""https://docs.google.com/spreadsheets/d/1l6IZ8xUPgMrESzcTYwhA1k_"&amp;"tPjeQjJPTqlm8Gd9eU5g/edit?usp=sharing"",""มหาสารคาม!N77"")+IMPORTRANGE(""https://docs.google.com/spreadsheets/d/1uB74YLqNjWX6FObjekfB2NtSYigTQyR2rq9u4Ub2Sq4/edit?usp=sharing"",""มุกดาหาร!N77"")+IMPORTRANGE(""https://docs.google.com/spreadsheets/d/1NexK3ge"&amp;"CPxCTO1fzNF8dPec7yZyUx3OaWkFBC9HsQOo/edit?usp=sharing"",""ยโสธร!N77"")+IMPORTRANGE(""https://docs.google.com/spreadsheets/d/1v_cJrbBlyqmnHPReHk44g9NrMRdENNlSy_E_c5M9fIg/edit?usp=sharing"",""ร้อยเอ็ด!N77"")+IMPORTRANGE(""https://docs.google.com/spreadsheet"&amp;"s/d/1Ul4RCpCX66NxYADU1QpwAPjOmBzW64SsT11s1wzXw_c/edit?usp=sharing"",""เลย!N77"")+IMPORTRANGE(""https://docs.google.com/spreadsheets/d/1bRrNKwbHDVktQG10isr5vbWRtt5spIZPpkOSWgbT5ug/edit?usp=sharing"",""ศรีสะเกษ!N77"")+IMPORTRANGE(""https://docs.google.com/s"&amp;"preadsheets/d/17P34_Ow5kFBfdQD0qspb2UuPX5zpi6WMrQzslghyvrI/edit?usp=sharing"",""สกลนคร!N77"")+IMPORTRANGE(""https://docs.google.com/spreadsheets/d/1yswqbM3-AEpThF3ZSUa1AcmHnmRTF1vlJ1CZGcJ8YuU/edit?usp=sharing"",""สุรินทร์!N77"")+IMPORTRANGE(""https://docs"&amp;".google.com/spreadsheets/d/13JHU_EFbsQOUQ0JSQ3dWy1VTRosIWcDq6Nc99z2qzdc/edit?usp=sharing"",""หนองคาย!N77"")+IMPORTRANGE(""https://docs.google.com/spreadsheets/d/1Hx73zIEgVdDZZaYSTc46Dqv64atFhpr3GelxLbaIN8A/edit?usp=sharing"",""หนองบัวลำภู!N77"")+IMPORTRAN"&amp;"GE(""https://docs.google.com/spreadsheets/d/1lFxr3ctmjFN90yc-xV6jrQ9Ty8BKYVBWnAZ15wcNIJc/edit?usp=sharing"",""อำนาจเจริญ!N77"")+IMPORTRANGE(""https://docs.google.com/spreadsheets/d/1gF7RJpRnL-1oyjyeWxs5SFWEH7y8ahOZsQlyp2A2e-A/edit?usp=sharing"",""อุดรธานี"&amp;"!N77"")+IMPORTRANGE(""https://docs.google.com/spreadsheets/d/1kfLP0j3INXRa8bTDpcEmoWewMBV61jlFlfzczfjWIgc/edit?usp=sharing"",""อุบลราชธานี!N77"")"),707186.059999999)</f>
        <v>707186.05999999901</v>
      </c>
      <c r="O77" s="59">
        <f t="shared" ca="1" si="34"/>
        <v>24.283567749467721</v>
      </c>
      <c r="P77" s="59">
        <f t="shared" ca="1" si="35"/>
        <v>27.301318766166041</v>
      </c>
    </row>
    <row r="78" spans="1:16" ht="18.75" x14ac:dyDescent="0.25">
      <c r="A78" s="157"/>
      <c r="B78" s="53"/>
      <c r="C78" s="53"/>
      <c r="D78" s="54" t="s">
        <v>21</v>
      </c>
      <c r="E78" s="53"/>
      <c r="F78" s="53"/>
      <c r="G78" s="55"/>
      <c r="H78" s="166" t="s">
        <v>12</v>
      </c>
      <c r="I78" s="164"/>
      <c r="J78" s="164"/>
      <c r="K78" s="165"/>
      <c r="L78" s="59">
        <f t="shared" ref="L78:N78" ca="1" si="39">L79+L80</f>
        <v>0</v>
      </c>
      <c r="M78" s="59">
        <f t="shared" ca="1" si="39"/>
        <v>0</v>
      </c>
      <c r="N78" s="59">
        <f t="shared" ca="1" si="39"/>
        <v>0</v>
      </c>
      <c r="O78" s="59">
        <f t="shared" ca="1" si="34"/>
        <v>0</v>
      </c>
      <c r="P78" s="59">
        <f t="shared" ca="1" si="35"/>
        <v>0</v>
      </c>
    </row>
    <row r="79" spans="1:16" ht="18.75" x14ac:dyDescent="0.25">
      <c r="A79" s="157"/>
      <c r="B79" s="53"/>
      <c r="C79" s="53"/>
      <c r="D79" s="53"/>
      <c r="E79" s="60" t="s">
        <v>18</v>
      </c>
      <c r="F79" s="53"/>
      <c r="G79" s="55"/>
      <c r="H79" s="163" t="s">
        <v>12</v>
      </c>
      <c r="I79" s="164"/>
      <c r="J79" s="164"/>
      <c r="K79" s="165"/>
      <c r="L79" s="59">
        <f ca="1">IFERROR(__xludf.DUMMYFUNCTION("IMPORTRANGE(""https://docs.google.com/spreadsheets/d/1yhBcrRPreicbMKl9Bu_Snb2-OcQAF62RKfhTLhJ2eAA/edit?usp=sharing"",""กาฬสินธุ์!L79"")+IMPORTRANGE(""https://docs.google.com/spreadsheets/d/1aHkj4IaQMThhwWwevcOymEh837vdxeC_PycurhTbGFA/edit?usp=sharing"","""&amp;"ขอนแก่น!L79"")+IMPORTRANGE(""https://docs.google.com/spreadsheets/d/1FvTu2DsIWUjP6WCWra38Bkj_oOl_sOMf14r5Fg5srxU/edit?usp=sharing"",""ชัยภูมิ!L79"")+IMPORTRANGE(""https://docs.google.com/spreadsheets/d/1XVB7oCJ3pr-vBUdflwPQ8Z2LlzhnCvZaaYjAfP-647E/edit?usp"&amp;"=sharing"",""นครพนม!L79"")+IMPORTRANGE(""https://docs.google.com/spreadsheets/d/1Mnpb-8PYAgn85W6KOTD40hc_Xc55CaLfHoGAbrZ8tls/edit?usp=sharing"",""นครราชสีมา!L79"")+IMPORTRANGE(""https://docs.google.com/spreadsheets/d/1xoDLGBv9CYbyosIhki0kTq6IpYNj-gpjxfobn"&amp;"aDiut0/edit?usp=sharing"",""บึงกาฬ!L79"")+IMPORTRANGE(""https://docs.google.com/spreadsheets/d/1MMPq-JyI6DSgQETxuSiXkesP-P7JHuemnE6QJIa-Nlw/edit?usp=sharing"",""บุรีรัมย์!L79"")+IMPORTRANGE(""https://docs.google.com/spreadsheets/d/1l6IZ8xUPgMrESzcTYwhA1k_"&amp;"tPjeQjJPTqlm8Gd9eU5g/edit?usp=sharing"",""มหาสารคาม!L79"")+IMPORTRANGE(""https://docs.google.com/spreadsheets/d/1uB74YLqNjWX6FObjekfB2NtSYigTQyR2rq9u4Ub2Sq4/edit?usp=sharing"",""มุกดาหาร!L79"")+IMPORTRANGE(""https://docs.google.com/spreadsheets/d/1NexK3ge"&amp;"CPxCTO1fzNF8dPec7yZyUx3OaWkFBC9HsQOo/edit?usp=sharing"",""ยโสธร!L79"")+IMPORTRANGE(""https://docs.google.com/spreadsheets/d/1v_cJrbBlyqmnHPReHk44g9NrMRdENNlSy_E_c5M9fIg/edit?usp=sharing"",""ร้อยเอ็ด!L79"")+IMPORTRANGE(""https://docs.google.com/spreadsheet"&amp;"s/d/1Ul4RCpCX66NxYADU1QpwAPjOmBzW64SsT11s1wzXw_c/edit?usp=sharing"",""เลย!L79"")+IMPORTRANGE(""https://docs.google.com/spreadsheets/d/1bRrNKwbHDVktQG10isr5vbWRtt5spIZPpkOSWgbT5ug/edit?usp=sharing"",""ศรีสะเกษ!L79"")+IMPORTRANGE(""https://docs.google.com/s"&amp;"preadsheets/d/17P34_Ow5kFBfdQD0qspb2UuPX5zpi6WMrQzslghyvrI/edit?usp=sharing"",""สกลนคร!L79"")+IMPORTRANGE(""https://docs.google.com/spreadsheets/d/1yswqbM3-AEpThF3ZSUa1AcmHnmRTF1vlJ1CZGcJ8YuU/edit?usp=sharing"",""สุรินทร์!L79"")+IMPORTRANGE(""https://docs"&amp;".google.com/spreadsheets/d/13JHU_EFbsQOUQ0JSQ3dWy1VTRosIWcDq6Nc99z2qzdc/edit?usp=sharing"",""หนองคาย!L79"")+IMPORTRANGE(""https://docs.google.com/spreadsheets/d/1Hx73zIEgVdDZZaYSTc46Dqv64atFhpr3GelxLbaIN8A/edit?usp=sharing"",""หนองบัวลำภู!L79"")+IMPORTRAN"&amp;"GE(""https://docs.google.com/spreadsheets/d/1lFxr3ctmjFN90yc-xV6jrQ9Ty8BKYVBWnAZ15wcNIJc/edit?usp=sharing"",""อำนาจเจริญ!L79"")+IMPORTRANGE(""https://docs.google.com/spreadsheets/d/1gF7RJpRnL-1oyjyeWxs5SFWEH7y8ahOZsQlyp2A2e-A/edit?usp=sharing"",""อุดรธานี"&amp;"!L79"")+IMPORTRANGE(""https://docs.google.com/spreadsheets/d/1kfLP0j3INXRa8bTDpcEmoWewMBV61jlFlfzczfjWIgc/edit?usp=sharing"",""อุบลราชธานี!L79"")"),0)</f>
        <v>0</v>
      </c>
      <c r="M79" s="59">
        <f ca="1">IFERROR(__xludf.DUMMYFUNCTION("IMPORTRANGE(""https://docs.google.com/spreadsheets/d/1yhBcrRPreicbMKl9Bu_Snb2-OcQAF62RKfhTLhJ2eAA/edit?usp=sharing"",""กาฬสินธุ์!M79"")+IMPORTRANGE(""https://docs.google.com/spreadsheets/d/1aHkj4IaQMThhwWwevcOymEh837vdxeC_PycurhTbGFA/edit?usp=sharing"","""&amp;"ขอนแก่น!M79"")+IMPORTRANGE(""https://docs.google.com/spreadsheets/d/1FvTu2DsIWUjP6WCWra38Bkj_oOl_sOMf14r5Fg5srxU/edit?usp=sharing"",""ชัยภูมิ!M79"")+IMPORTRANGE(""https://docs.google.com/spreadsheets/d/1XVB7oCJ3pr-vBUdflwPQ8Z2LlzhnCvZaaYjAfP-647E/edit?usp"&amp;"=sharing"",""นครพนม!M79"")+IMPORTRANGE(""https://docs.google.com/spreadsheets/d/1Mnpb-8PYAgn85W6KOTD40hc_Xc55CaLfHoGAbrZ8tls/edit?usp=sharing"",""นครราชสีมา!M79"")+IMPORTRANGE(""https://docs.google.com/spreadsheets/d/1xoDLGBv9CYbyosIhki0kTq6IpYNj-gpjxfobn"&amp;"aDiut0/edit?usp=sharing"",""บึงกาฬ!M79"")+IMPORTRANGE(""https://docs.google.com/spreadsheets/d/1MMPq-JyI6DSgQETxuSiXkesP-P7JHuemnE6QJIa-Nlw/edit?usp=sharing"",""บุรีรัมย์!M79"")+IMPORTRANGE(""https://docs.google.com/spreadsheets/d/1l6IZ8xUPgMrESzcTYwhA1k_"&amp;"tPjeQjJPTqlm8Gd9eU5g/edit?usp=sharing"",""มหาสารคาม!M79"")+IMPORTRANGE(""https://docs.google.com/spreadsheets/d/1uB74YLqNjWX6FObjekfB2NtSYigTQyR2rq9u4Ub2Sq4/edit?usp=sharing"",""มุกดาหาร!M79"")+IMPORTRANGE(""https://docs.google.com/spreadsheets/d/1NexK3ge"&amp;"CPxCTO1fzNF8dPec7yZyUx3OaWkFBC9HsQOo/edit?usp=sharing"",""ยโสธร!M79"")+IMPORTRANGE(""https://docs.google.com/spreadsheets/d/1v_cJrbBlyqmnHPReHk44g9NrMRdENNlSy_E_c5M9fIg/edit?usp=sharing"",""ร้อยเอ็ด!M79"")+IMPORTRANGE(""https://docs.google.com/spreadsheet"&amp;"s/d/1Ul4RCpCX66NxYADU1QpwAPjOmBzW64SsT11s1wzXw_c/edit?usp=sharing"",""เลย!M79"")+IMPORTRANGE(""https://docs.google.com/spreadsheets/d/1bRrNKwbHDVktQG10isr5vbWRtt5spIZPpkOSWgbT5ug/edit?usp=sharing"",""ศรีสะเกษ!M79"")+IMPORTRANGE(""https://docs.google.com/s"&amp;"preadsheets/d/17P34_Ow5kFBfdQD0qspb2UuPX5zpi6WMrQzslghyvrI/edit?usp=sharing"",""สกลนคร!M79"")+IMPORTRANGE(""https://docs.google.com/spreadsheets/d/1yswqbM3-AEpThF3ZSUa1AcmHnmRTF1vlJ1CZGcJ8YuU/edit?usp=sharing"",""สุรินทร์!M79"")+IMPORTRANGE(""https://docs"&amp;".google.com/spreadsheets/d/13JHU_EFbsQOUQ0JSQ3dWy1VTRosIWcDq6Nc99z2qzdc/edit?usp=sharing"",""หนองคาย!M79"")+IMPORTRANGE(""https://docs.google.com/spreadsheets/d/1Hx73zIEgVdDZZaYSTc46Dqv64atFhpr3GelxLbaIN8A/edit?usp=sharing"",""หนองบัวลำภู!M79"")+IMPORTRAN"&amp;"GE(""https://docs.google.com/spreadsheets/d/1lFxr3ctmjFN90yc-xV6jrQ9Ty8BKYVBWnAZ15wcNIJc/edit?usp=sharing"",""อำนาจเจริญ!M79"")+IMPORTRANGE(""https://docs.google.com/spreadsheets/d/1gF7RJpRnL-1oyjyeWxs5SFWEH7y8ahOZsQlyp2A2e-A/edit?usp=sharing"",""อุดรธานี"&amp;"!M79"")+IMPORTRANGE(""https://docs.google.com/spreadsheets/d/1kfLP0j3INXRa8bTDpcEmoWewMBV61jlFlfzczfjWIgc/edit?usp=sharing"",""อุบลราชธานี!M79"")"),0)</f>
        <v>0</v>
      </c>
      <c r="N79" s="59">
        <f ca="1">IFERROR(__xludf.DUMMYFUNCTION("IMPORTRANGE(""https://docs.google.com/spreadsheets/d/1yhBcrRPreicbMKl9Bu_Snb2-OcQAF62RKfhTLhJ2eAA/edit?usp=sharing"",""กาฬสินธุ์!N79"")+IMPORTRANGE(""https://docs.google.com/spreadsheets/d/1aHkj4IaQMThhwWwevcOymEh837vdxeC_PycurhTbGFA/edit?usp=sharing"","""&amp;"ขอนแก่น!N79"")+IMPORTRANGE(""https://docs.google.com/spreadsheets/d/1FvTu2DsIWUjP6WCWra38Bkj_oOl_sOMf14r5Fg5srxU/edit?usp=sharing"",""ชัยภูมิ!N79"")+IMPORTRANGE(""https://docs.google.com/spreadsheets/d/1XVB7oCJ3pr-vBUdflwPQ8Z2LlzhnCvZaaYjAfP-647E/edit?usp"&amp;"=sharing"",""นครพนม!N79"")+IMPORTRANGE(""https://docs.google.com/spreadsheets/d/1Mnpb-8PYAgn85W6KOTD40hc_Xc55CaLfHoGAbrZ8tls/edit?usp=sharing"",""นครราชสีมา!N79"")+IMPORTRANGE(""https://docs.google.com/spreadsheets/d/1xoDLGBv9CYbyosIhki0kTq6IpYNj-gpjxfobn"&amp;"aDiut0/edit?usp=sharing"",""บึงกาฬ!N79"")+IMPORTRANGE(""https://docs.google.com/spreadsheets/d/1MMPq-JyI6DSgQETxuSiXkesP-P7JHuemnE6QJIa-Nlw/edit?usp=sharing"",""บุรีรัมย์!N79"")+IMPORTRANGE(""https://docs.google.com/spreadsheets/d/1l6IZ8xUPgMrESzcTYwhA1k_"&amp;"tPjeQjJPTqlm8Gd9eU5g/edit?usp=sharing"",""มหาสารคาม!N79"")+IMPORTRANGE(""https://docs.google.com/spreadsheets/d/1uB74YLqNjWX6FObjekfB2NtSYigTQyR2rq9u4Ub2Sq4/edit?usp=sharing"",""มุกดาหาร!N79"")+IMPORTRANGE(""https://docs.google.com/spreadsheets/d/1NexK3ge"&amp;"CPxCTO1fzNF8dPec7yZyUx3OaWkFBC9HsQOo/edit?usp=sharing"",""ยโสธร!N79"")+IMPORTRANGE(""https://docs.google.com/spreadsheets/d/1v_cJrbBlyqmnHPReHk44g9NrMRdENNlSy_E_c5M9fIg/edit?usp=sharing"",""ร้อยเอ็ด!N79"")+IMPORTRANGE(""https://docs.google.com/spreadsheet"&amp;"s/d/1Ul4RCpCX66NxYADU1QpwAPjOmBzW64SsT11s1wzXw_c/edit?usp=sharing"",""เลย!N79"")+IMPORTRANGE(""https://docs.google.com/spreadsheets/d/1bRrNKwbHDVktQG10isr5vbWRtt5spIZPpkOSWgbT5ug/edit?usp=sharing"",""ศรีสะเกษ!N79"")+IMPORTRANGE(""https://docs.google.com/s"&amp;"preadsheets/d/17P34_Ow5kFBfdQD0qspb2UuPX5zpi6WMrQzslghyvrI/edit?usp=sharing"",""สกลนคร!N79"")+IMPORTRANGE(""https://docs.google.com/spreadsheets/d/1yswqbM3-AEpThF3ZSUa1AcmHnmRTF1vlJ1CZGcJ8YuU/edit?usp=sharing"",""สุรินทร์!N79"")+IMPORTRANGE(""https://docs"&amp;".google.com/spreadsheets/d/13JHU_EFbsQOUQ0JSQ3dWy1VTRosIWcDq6Nc99z2qzdc/edit?usp=sharing"",""หนองคาย!N79"")+IMPORTRANGE(""https://docs.google.com/spreadsheets/d/1Hx73zIEgVdDZZaYSTc46Dqv64atFhpr3GelxLbaIN8A/edit?usp=sharing"",""หนองบัวลำภู!N79"")+IMPORTRAN"&amp;"GE(""https://docs.google.com/spreadsheets/d/1lFxr3ctmjFN90yc-xV6jrQ9Ty8BKYVBWnAZ15wcNIJc/edit?usp=sharing"",""อำนาจเจริญ!N79"")+IMPORTRANGE(""https://docs.google.com/spreadsheets/d/1gF7RJpRnL-1oyjyeWxs5SFWEH7y8ahOZsQlyp2A2e-A/edit?usp=sharing"",""อุดรธานี"&amp;"!N79"")+IMPORTRANGE(""https://docs.google.com/spreadsheets/d/1kfLP0j3INXRa8bTDpcEmoWewMBV61jlFlfzczfjWIgc/edit?usp=sharing"",""อุบลราชธานี!N79"")"),0)</f>
        <v>0</v>
      </c>
      <c r="O79" s="59">
        <f t="shared" ca="1" si="34"/>
        <v>0</v>
      </c>
      <c r="P79" s="59">
        <f t="shared" ca="1" si="35"/>
        <v>0</v>
      </c>
    </row>
    <row r="80" spans="1:16" ht="18.75" x14ac:dyDescent="0.25">
      <c r="A80" s="157"/>
      <c r="B80" s="53"/>
      <c r="C80" s="53"/>
      <c r="D80" s="53"/>
      <c r="E80" s="60" t="s">
        <v>19</v>
      </c>
      <c r="F80" s="53"/>
      <c r="G80" s="55"/>
      <c r="H80" s="166" t="s">
        <v>12</v>
      </c>
      <c r="I80" s="164"/>
      <c r="J80" s="164"/>
      <c r="K80" s="165"/>
      <c r="L80" s="59">
        <f ca="1">IFERROR(__xludf.DUMMYFUNCTION("IMPORTRANGE(""https://docs.google.com/spreadsheets/d/1yhBcrRPreicbMKl9Bu_Snb2-OcQAF62RKfhTLhJ2eAA/edit?usp=sharing"",""กาฬสินธุ์!L80"")+IMPORTRANGE(""https://docs.google.com/spreadsheets/d/1aHkj4IaQMThhwWwevcOymEh837vdxeC_PycurhTbGFA/edit?usp=sharing"","""&amp;"ขอนแก่น!L80"")+IMPORTRANGE(""https://docs.google.com/spreadsheets/d/1FvTu2DsIWUjP6WCWra38Bkj_oOl_sOMf14r5Fg5srxU/edit?usp=sharing"",""ชัยภูมิ!L80"")+IMPORTRANGE(""https://docs.google.com/spreadsheets/d/1XVB7oCJ3pr-vBUdflwPQ8Z2LlzhnCvZaaYjAfP-647E/edit?usp"&amp;"=sharing"",""นครพนม!L80"")+IMPORTRANGE(""https://docs.google.com/spreadsheets/d/1Mnpb-8PYAgn85W6KOTD40hc_Xc55CaLfHoGAbrZ8tls/edit?usp=sharing"",""นครราชสีมา!L80"")+IMPORTRANGE(""https://docs.google.com/spreadsheets/d/1xoDLGBv9CYbyosIhki0kTq6IpYNj-gpjxfobn"&amp;"aDiut0/edit?usp=sharing"",""บึงกาฬ!L80"")+IMPORTRANGE(""https://docs.google.com/spreadsheets/d/1MMPq-JyI6DSgQETxuSiXkesP-P7JHuemnE6QJIa-Nlw/edit?usp=sharing"",""บุรีรัมย์!L80"")+IMPORTRANGE(""https://docs.google.com/spreadsheets/d/1l6IZ8xUPgMrESzcTYwhA1k_"&amp;"tPjeQjJPTqlm8Gd9eU5g/edit?usp=sharing"",""มหาสารคาม!L80"")+IMPORTRANGE(""https://docs.google.com/spreadsheets/d/1uB74YLqNjWX6FObjekfB2NtSYigTQyR2rq9u4Ub2Sq4/edit?usp=sharing"",""มุกดาหาร!L80"")+IMPORTRANGE(""https://docs.google.com/spreadsheets/d/1NexK3ge"&amp;"CPxCTO1fzNF8dPec7yZyUx3OaWkFBC9HsQOo/edit?usp=sharing"",""ยโสธร!L80"")+IMPORTRANGE(""https://docs.google.com/spreadsheets/d/1v_cJrbBlyqmnHPReHk44g9NrMRdENNlSy_E_c5M9fIg/edit?usp=sharing"",""ร้อยเอ็ด!L80"")+IMPORTRANGE(""https://docs.google.com/spreadsheet"&amp;"s/d/1Ul4RCpCX66NxYADU1QpwAPjOmBzW64SsT11s1wzXw_c/edit?usp=sharing"",""เลย!L80"")+IMPORTRANGE(""https://docs.google.com/spreadsheets/d/1bRrNKwbHDVktQG10isr5vbWRtt5spIZPpkOSWgbT5ug/edit?usp=sharing"",""ศรีสะเกษ!L80"")+IMPORTRANGE(""https://docs.google.com/s"&amp;"preadsheets/d/17P34_Ow5kFBfdQD0qspb2UuPX5zpi6WMrQzslghyvrI/edit?usp=sharing"",""สกลนคร!L80"")+IMPORTRANGE(""https://docs.google.com/spreadsheets/d/1yswqbM3-AEpThF3ZSUa1AcmHnmRTF1vlJ1CZGcJ8YuU/edit?usp=sharing"",""สุรินทร์!L80"")+IMPORTRANGE(""https://docs"&amp;".google.com/spreadsheets/d/13JHU_EFbsQOUQ0JSQ3dWy1VTRosIWcDq6Nc99z2qzdc/edit?usp=sharing"",""หนองคาย!L80"")+IMPORTRANGE(""https://docs.google.com/spreadsheets/d/1Hx73zIEgVdDZZaYSTc46Dqv64atFhpr3GelxLbaIN8A/edit?usp=sharing"",""หนองบัวลำภู!L80"")+IMPORTRAN"&amp;"GE(""https://docs.google.com/spreadsheets/d/1lFxr3ctmjFN90yc-xV6jrQ9Ty8BKYVBWnAZ15wcNIJc/edit?usp=sharing"",""อำนาจเจริญ!L80"")+IMPORTRANGE(""https://docs.google.com/spreadsheets/d/1gF7RJpRnL-1oyjyeWxs5SFWEH7y8ahOZsQlyp2A2e-A/edit?usp=sharing"",""อุดรธานี"&amp;"!L80"")+IMPORTRANGE(""https://docs.google.com/spreadsheets/d/1kfLP0j3INXRa8bTDpcEmoWewMBV61jlFlfzczfjWIgc/edit?usp=sharing"",""อุบลราชธานี!L80"")"),0)</f>
        <v>0</v>
      </c>
      <c r="M80" s="59">
        <f ca="1">IFERROR(__xludf.DUMMYFUNCTION("IMPORTRANGE(""https://docs.google.com/spreadsheets/d/1yhBcrRPreicbMKl9Bu_Snb2-OcQAF62RKfhTLhJ2eAA/edit?usp=sharing"",""กาฬสินธุ์!M80"")+IMPORTRANGE(""https://docs.google.com/spreadsheets/d/1aHkj4IaQMThhwWwevcOymEh837vdxeC_PycurhTbGFA/edit?usp=sharing"","""&amp;"ขอนแก่น!M80"")+IMPORTRANGE(""https://docs.google.com/spreadsheets/d/1FvTu2DsIWUjP6WCWra38Bkj_oOl_sOMf14r5Fg5srxU/edit?usp=sharing"",""ชัยภูมิ!M80"")+IMPORTRANGE(""https://docs.google.com/spreadsheets/d/1XVB7oCJ3pr-vBUdflwPQ8Z2LlzhnCvZaaYjAfP-647E/edit?usp"&amp;"=sharing"",""นครพนม!M80"")+IMPORTRANGE(""https://docs.google.com/spreadsheets/d/1Mnpb-8PYAgn85W6KOTD40hc_Xc55CaLfHoGAbrZ8tls/edit?usp=sharing"",""นครราชสีมา!M80"")+IMPORTRANGE(""https://docs.google.com/spreadsheets/d/1xoDLGBv9CYbyosIhki0kTq6IpYNj-gpjxfobn"&amp;"aDiut0/edit?usp=sharing"",""บึงกาฬ!M80"")+IMPORTRANGE(""https://docs.google.com/spreadsheets/d/1MMPq-JyI6DSgQETxuSiXkesP-P7JHuemnE6QJIa-Nlw/edit?usp=sharing"",""บุรีรัมย์!M80"")+IMPORTRANGE(""https://docs.google.com/spreadsheets/d/1l6IZ8xUPgMrESzcTYwhA1k_"&amp;"tPjeQjJPTqlm8Gd9eU5g/edit?usp=sharing"",""มหาสารคาม!M80"")+IMPORTRANGE(""https://docs.google.com/spreadsheets/d/1uB74YLqNjWX6FObjekfB2NtSYigTQyR2rq9u4Ub2Sq4/edit?usp=sharing"",""มุกดาหาร!M80"")+IMPORTRANGE(""https://docs.google.com/spreadsheets/d/1NexK3ge"&amp;"CPxCTO1fzNF8dPec7yZyUx3OaWkFBC9HsQOo/edit?usp=sharing"",""ยโสธร!M80"")+IMPORTRANGE(""https://docs.google.com/spreadsheets/d/1v_cJrbBlyqmnHPReHk44g9NrMRdENNlSy_E_c5M9fIg/edit?usp=sharing"",""ร้อยเอ็ด!M80"")+IMPORTRANGE(""https://docs.google.com/spreadsheet"&amp;"s/d/1Ul4RCpCX66NxYADU1QpwAPjOmBzW64SsT11s1wzXw_c/edit?usp=sharing"",""เลย!M80"")+IMPORTRANGE(""https://docs.google.com/spreadsheets/d/1bRrNKwbHDVktQG10isr5vbWRtt5spIZPpkOSWgbT5ug/edit?usp=sharing"",""ศรีสะเกษ!M80"")+IMPORTRANGE(""https://docs.google.com/s"&amp;"preadsheets/d/17P34_Ow5kFBfdQD0qspb2UuPX5zpi6WMrQzslghyvrI/edit?usp=sharing"",""สกลนคร!M80"")+IMPORTRANGE(""https://docs.google.com/spreadsheets/d/1yswqbM3-AEpThF3ZSUa1AcmHnmRTF1vlJ1CZGcJ8YuU/edit?usp=sharing"",""สุรินทร์!M80"")+IMPORTRANGE(""https://docs"&amp;".google.com/spreadsheets/d/13JHU_EFbsQOUQ0JSQ3dWy1VTRosIWcDq6Nc99z2qzdc/edit?usp=sharing"",""หนองคาย!M80"")+IMPORTRANGE(""https://docs.google.com/spreadsheets/d/1Hx73zIEgVdDZZaYSTc46Dqv64atFhpr3GelxLbaIN8A/edit?usp=sharing"",""หนองบัวลำภู!M80"")+IMPORTRAN"&amp;"GE(""https://docs.google.com/spreadsheets/d/1lFxr3ctmjFN90yc-xV6jrQ9Ty8BKYVBWnAZ15wcNIJc/edit?usp=sharing"",""อำนาจเจริญ!M80"")+IMPORTRANGE(""https://docs.google.com/spreadsheets/d/1gF7RJpRnL-1oyjyeWxs5SFWEH7y8ahOZsQlyp2A2e-A/edit?usp=sharing"",""อุดรธานี"&amp;"!M80"")+IMPORTRANGE(""https://docs.google.com/spreadsheets/d/1kfLP0j3INXRa8bTDpcEmoWewMBV61jlFlfzczfjWIgc/edit?usp=sharing"",""อุบลราชธานี!M80"")"),0)</f>
        <v>0</v>
      </c>
      <c r="N80" s="59">
        <f ca="1">IFERROR(__xludf.DUMMYFUNCTION("IMPORTRANGE(""https://docs.google.com/spreadsheets/d/1yhBcrRPreicbMKl9Bu_Snb2-OcQAF62RKfhTLhJ2eAA/edit?usp=sharing"",""กาฬสินธุ์!N80"")+IMPORTRANGE(""https://docs.google.com/spreadsheets/d/1aHkj4IaQMThhwWwevcOymEh837vdxeC_PycurhTbGFA/edit?usp=sharing"","""&amp;"ขอนแก่น!N80"")+IMPORTRANGE(""https://docs.google.com/spreadsheets/d/1FvTu2DsIWUjP6WCWra38Bkj_oOl_sOMf14r5Fg5srxU/edit?usp=sharing"",""ชัยภูมิ!N80"")+IMPORTRANGE(""https://docs.google.com/spreadsheets/d/1XVB7oCJ3pr-vBUdflwPQ8Z2LlzhnCvZaaYjAfP-647E/edit?usp"&amp;"=sharing"",""นครพนม!N80"")+IMPORTRANGE(""https://docs.google.com/spreadsheets/d/1Mnpb-8PYAgn85W6KOTD40hc_Xc55CaLfHoGAbrZ8tls/edit?usp=sharing"",""นครราชสีมา!N80"")+IMPORTRANGE(""https://docs.google.com/spreadsheets/d/1xoDLGBv9CYbyosIhki0kTq6IpYNj-gpjxfobn"&amp;"aDiut0/edit?usp=sharing"",""บึงกาฬ!N80"")+IMPORTRANGE(""https://docs.google.com/spreadsheets/d/1MMPq-JyI6DSgQETxuSiXkesP-P7JHuemnE6QJIa-Nlw/edit?usp=sharing"",""บุรีรัมย์!N80"")+IMPORTRANGE(""https://docs.google.com/spreadsheets/d/1l6IZ8xUPgMrESzcTYwhA1k_"&amp;"tPjeQjJPTqlm8Gd9eU5g/edit?usp=sharing"",""มหาสารคาม!N80"")+IMPORTRANGE(""https://docs.google.com/spreadsheets/d/1uB74YLqNjWX6FObjekfB2NtSYigTQyR2rq9u4Ub2Sq4/edit?usp=sharing"",""มุกดาหาร!N80"")+IMPORTRANGE(""https://docs.google.com/spreadsheets/d/1NexK3ge"&amp;"CPxCTO1fzNF8dPec7yZyUx3OaWkFBC9HsQOo/edit?usp=sharing"",""ยโสธร!N80"")+IMPORTRANGE(""https://docs.google.com/spreadsheets/d/1v_cJrbBlyqmnHPReHk44g9NrMRdENNlSy_E_c5M9fIg/edit?usp=sharing"",""ร้อยเอ็ด!N80"")+IMPORTRANGE(""https://docs.google.com/spreadsheet"&amp;"s/d/1Ul4RCpCX66NxYADU1QpwAPjOmBzW64SsT11s1wzXw_c/edit?usp=sharing"",""เลย!N80"")+IMPORTRANGE(""https://docs.google.com/spreadsheets/d/1bRrNKwbHDVktQG10isr5vbWRtt5spIZPpkOSWgbT5ug/edit?usp=sharing"",""ศรีสะเกษ!N80"")+IMPORTRANGE(""https://docs.google.com/s"&amp;"preadsheets/d/17P34_Ow5kFBfdQD0qspb2UuPX5zpi6WMrQzslghyvrI/edit?usp=sharing"",""สกลนคร!N80"")+IMPORTRANGE(""https://docs.google.com/spreadsheets/d/1yswqbM3-AEpThF3ZSUa1AcmHnmRTF1vlJ1CZGcJ8YuU/edit?usp=sharing"",""สุรินทร์!N80"")+IMPORTRANGE(""https://docs"&amp;".google.com/spreadsheets/d/13JHU_EFbsQOUQ0JSQ3dWy1VTRosIWcDq6Nc99z2qzdc/edit?usp=sharing"",""หนองคาย!N80"")+IMPORTRANGE(""https://docs.google.com/spreadsheets/d/1Hx73zIEgVdDZZaYSTc46Dqv64atFhpr3GelxLbaIN8A/edit?usp=sharing"",""หนองบัวลำภู!N80"")+IMPORTRAN"&amp;"GE(""https://docs.google.com/spreadsheets/d/1lFxr3ctmjFN90yc-xV6jrQ9Ty8BKYVBWnAZ15wcNIJc/edit?usp=sharing"",""อำนาจเจริญ!N80"")+IMPORTRANGE(""https://docs.google.com/spreadsheets/d/1gF7RJpRnL-1oyjyeWxs5SFWEH7y8ahOZsQlyp2A2e-A/edit?usp=sharing"",""อุดรธานี"&amp;"!N80"")+IMPORTRANGE(""https://docs.google.com/spreadsheets/d/1kfLP0j3INXRa8bTDpcEmoWewMBV61jlFlfzczfjWIgc/edit?usp=sharing"",""อุบลราชธานี!N80"")"),0)</f>
        <v>0</v>
      </c>
      <c r="O80" s="59">
        <f t="shared" ca="1" si="34"/>
        <v>0</v>
      </c>
      <c r="P80" s="59">
        <f t="shared" ca="1" si="35"/>
        <v>0</v>
      </c>
    </row>
    <row r="81" spans="1:16" ht="19.5" x14ac:dyDescent="0.3">
      <c r="A81" s="167"/>
      <c r="B81" s="168"/>
      <c r="C81" s="158" t="s">
        <v>16</v>
      </c>
      <c r="D81" s="169" t="s">
        <v>36</v>
      </c>
      <c r="E81" s="170"/>
      <c r="F81" s="170"/>
      <c r="G81" s="171"/>
      <c r="H81" s="172"/>
      <c r="I81" s="164"/>
      <c r="J81" s="164"/>
      <c r="K81" s="165"/>
      <c r="L81" s="165"/>
      <c r="M81" s="165"/>
      <c r="N81" s="165"/>
      <c r="O81" s="165"/>
      <c r="P81" s="165"/>
    </row>
    <row r="82" spans="1:16" ht="19.5" x14ac:dyDescent="0.3">
      <c r="A82" s="167"/>
      <c r="B82" s="168"/>
      <c r="C82" s="168"/>
      <c r="D82" s="173" t="s">
        <v>37</v>
      </c>
      <c r="E82" s="174"/>
      <c r="F82" s="174"/>
      <c r="G82" s="172"/>
      <c r="H82" s="175" t="s">
        <v>32</v>
      </c>
      <c r="I82" s="176">
        <f t="shared" ref="I82:J82" ca="1" si="40">I84+I86+I88</f>
        <v>6</v>
      </c>
      <c r="J82" s="176">
        <f t="shared" ca="1" si="40"/>
        <v>1</v>
      </c>
      <c r="K82" s="177">
        <f t="shared" ref="K82:K90" ca="1" si="41">IF(I82&gt;0,J82*100/I82,0)</f>
        <v>16.666666666666668</v>
      </c>
      <c r="L82" s="165"/>
      <c r="M82" s="165"/>
      <c r="N82" s="165"/>
      <c r="O82" s="165"/>
      <c r="P82" s="165"/>
    </row>
    <row r="83" spans="1:16" ht="19.5" x14ac:dyDescent="0.3">
      <c r="A83" s="167"/>
      <c r="B83" s="168"/>
      <c r="C83" s="168"/>
      <c r="D83" s="168"/>
      <c r="E83" s="174"/>
      <c r="F83" s="174"/>
      <c r="G83" s="172"/>
      <c r="H83" s="175" t="s">
        <v>33</v>
      </c>
      <c r="I83" s="176">
        <f t="shared" ref="I83:J83" ca="1" si="42">I85+I87+I89</f>
        <v>306</v>
      </c>
      <c r="J83" s="176">
        <f t="shared" ca="1" si="42"/>
        <v>34</v>
      </c>
      <c r="K83" s="177">
        <f t="shared" ca="1" si="41"/>
        <v>11.111111111111111</v>
      </c>
      <c r="L83" s="165"/>
      <c r="M83" s="165"/>
      <c r="N83" s="165"/>
      <c r="O83" s="165"/>
      <c r="P83" s="165"/>
    </row>
    <row r="84" spans="1:16" ht="18.75" x14ac:dyDescent="0.25">
      <c r="A84" s="167"/>
      <c r="B84" s="168"/>
      <c r="C84" s="168"/>
      <c r="D84" s="168"/>
      <c r="E84" s="178" t="s">
        <v>38</v>
      </c>
      <c r="F84" s="174"/>
      <c r="G84" s="172"/>
      <c r="H84" s="179" t="s">
        <v>32</v>
      </c>
      <c r="I84" s="180">
        <f ca="1">IFERROR(__xludf.DUMMYFUNCTION("IMPORTRANGE(""https://docs.google.com/spreadsheets/d/1yhBcrRPreicbMKl9Bu_Snb2-OcQAF62RKfhTLhJ2eAA/edit?usp=sharing"",""กาฬสินธุ์!I84"")+IMPORTRANGE(""https://docs.google.com/spreadsheets/d/1aHkj4IaQMThhwWwevcOymEh837vdxeC_PycurhTbGFA/edit?usp=sharing"","""&amp;"ขอนแก่น!I84"")+IMPORTRANGE(""https://docs.google.com/spreadsheets/d/1FvTu2DsIWUjP6WCWra38Bkj_oOl_sOMf14r5Fg5srxU/edit?usp=sharing"",""ชัยภูมิ!I84"")+IMPORTRANGE(""https://docs.google.com/spreadsheets/d/1XVB7oCJ3pr-vBUdflwPQ8Z2LlzhnCvZaaYjAfP-647E/edit?usp"&amp;"=sharing"",""นครพนม!I84"")+IMPORTRANGE(""https://docs.google.com/spreadsheets/d/1Mnpb-8PYAgn85W6KOTD40hc_Xc55CaLfHoGAbrZ8tls/edit?usp=sharing"",""นครราชสีมา!I84"")+IMPORTRANGE(""https://docs.google.com/spreadsheets/d/1xoDLGBv9CYbyosIhki0kTq6IpYNj-gpjxfobn"&amp;"aDiut0/edit?usp=sharing"",""บึงกาฬ!I84"")+IMPORTRANGE(""https://docs.google.com/spreadsheets/d/1MMPq-JyI6DSgQETxuSiXkesP-P7JHuemnE6QJIa-Nlw/edit?usp=sharing"",""บุรีรัมย์!I84"")+IMPORTRANGE(""https://docs.google.com/spreadsheets/d/1l6IZ8xUPgMrESzcTYwhA1k_"&amp;"tPjeQjJPTqlm8Gd9eU5g/edit?usp=sharing"",""มหาสารคาม!I84"")+IMPORTRANGE(""https://docs.google.com/spreadsheets/d/1uB74YLqNjWX6FObjekfB2NtSYigTQyR2rq9u4Ub2Sq4/edit?usp=sharing"",""มุกดาหาร!I84"")+IMPORTRANGE(""https://docs.google.com/spreadsheets/d/1NexK3ge"&amp;"CPxCTO1fzNF8dPec7yZyUx3OaWkFBC9HsQOo/edit?usp=sharing"",""ยโสธร!I84"")+IMPORTRANGE(""https://docs.google.com/spreadsheets/d/1v_cJrbBlyqmnHPReHk44g9NrMRdENNlSy_E_c5M9fIg/edit?usp=sharing"",""ร้อยเอ็ด!I84"")+IMPORTRANGE(""https://docs.google.com/spreadsheet"&amp;"s/d/1Ul4RCpCX66NxYADU1QpwAPjOmBzW64SsT11s1wzXw_c/edit?usp=sharing"",""เลย!I84"")+IMPORTRANGE(""https://docs.google.com/spreadsheets/d/1bRrNKwbHDVktQG10isr5vbWRtt5spIZPpkOSWgbT5ug/edit?usp=sharing"",""ศรีสะเกษ!I84"")+IMPORTRANGE(""https://docs.google.com/s"&amp;"preadsheets/d/17P34_Ow5kFBfdQD0qspb2UuPX5zpi6WMrQzslghyvrI/edit?usp=sharing"",""สกลนคร!I84"")+IMPORTRANGE(""https://docs.google.com/spreadsheets/d/1yswqbM3-AEpThF3ZSUa1AcmHnmRTF1vlJ1CZGcJ8YuU/edit?usp=sharing"",""สุรินทร์!I84"")+IMPORTRANGE(""https://docs"&amp;".google.com/spreadsheets/d/13JHU_EFbsQOUQ0JSQ3dWy1VTRosIWcDq6Nc99z2qzdc/edit?usp=sharing"",""หนองคาย!I84"")+IMPORTRANGE(""https://docs.google.com/spreadsheets/d/1Hx73zIEgVdDZZaYSTc46Dqv64atFhpr3GelxLbaIN8A/edit?usp=sharing"",""หนองบัวลำภู!I84"")+IMPORTRAN"&amp;"GE(""https://docs.google.com/spreadsheets/d/1lFxr3ctmjFN90yc-xV6jrQ9Ty8BKYVBWnAZ15wcNIJc/edit?usp=sharing"",""อำนาจเจริญ!I84"")+IMPORTRANGE(""https://docs.google.com/spreadsheets/d/1gF7RJpRnL-1oyjyeWxs5SFWEH7y8ahOZsQlyp2A2e-A/edit?usp=sharing"",""อุดรธานี"&amp;"!I84"")+IMPORTRANGE(""https://docs.google.com/spreadsheets/d/1kfLP0j3INXRa8bTDpcEmoWewMBV61jlFlfzczfjWIgc/edit?usp=sharing"",""อุบลราชธานี!I84"")"),0)</f>
        <v>0</v>
      </c>
      <c r="J84" s="181">
        <f ca="1">IFERROR(__xludf.DUMMYFUNCTION("IMPORTRANGE(""https://docs.google.com/spreadsheets/d/1yhBcrRPreicbMKl9Bu_Snb2-OcQAF62RKfhTLhJ2eAA/edit?usp=sharing"",""กาฬสินธุ์!J84"")+IMPORTRANGE(""https://docs.google.com/spreadsheets/d/1aHkj4IaQMThhwWwevcOymEh837vdxeC_PycurhTbGFA/edit?usp=sharing"","""&amp;"ขอนแก่น!J84"")+IMPORTRANGE(""https://docs.google.com/spreadsheets/d/1FvTu2DsIWUjP6WCWra38Bkj_oOl_sOMf14r5Fg5srxU/edit?usp=sharing"",""ชัยภูมิ!J84"")+IMPORTRANGE(""https://docs.google.com/spreadsheets/d/1XVB7oCJ3pr-vBUdflwPQ8Z2LlzhnCvZaaYjAfP-647E/edit?usp"&amp;"=sharing"",""นครพนม!J84"")+IMPORTRANGE(""https://docs.google.com/spreadsheets/d/1Mnpb-8PYAgn85W6KOTD40hc_Xc55CaLfHoGAbrZ8tls/edit?usp=sharing"",""นครราชสีมา!J84"")+IMPORTRANGE(""https://docs.google.com/spreadsheets/d/1xoDLGBv9CYbyosIhki0kTq6IpYNj-gpjxfobn"&amp;"aDiut0/edit?usp=sharing"",""บึงกาฬ!J84"")+IMPORTRANGE(""https://docs.google.com/spreadsheets/d/1MMPq-JyI6DSgQETxuSiXkesP-P7JHuemnE6QJIa-Nlw/edit?usp=sharing"",""บุรีรัมย์!J84"")+IMPORTRANGE(""https://docs.google.com/spreadsheets/d/1l6IZ8xUPgMrESzcTYwhA1k_"&amp;"tPjeQjJPTqlm8Gd9eU5g/edit?usp=sharing"",""มหาสารคาม!J84"")+IMPORTRANGE(""https://docs.google.com/spreadsheets/d/1uB74YLqNjWX6FObjekfB2NtSYigTQyR2rq9u4Ub2Sq4/edit?usp=sharing"",""มุกดาหาร!J84"")+IMPORTRANGE(""https://docs.google.com/spreadsheets/d/1NexK3ge"&amp;"CPxCTO1fzNF8dPec7yZyUx3OaWkFBC9HsQOo/edit?usp=sharing"",""ยโสธร!J84"")+IMPORTRANGE(""https://docs.google.com/spreadsheets/d/1v_cJrbBlyqmnHPReHk44g9NrMRdENNlSy_E_c5M9fIg/edit?usp=sharing"",""ร้อยเอ็ด!J84"")+IMPORTRANGE(""https://docs.google.com/spreadsheet"&amp;"s/d/1Ul4RCpCX66NxYADU1QpwAPjOmBzW64SsT11s1wzXw_c/edit?usp=sharing"",""เลย!J84"")+IMPORTRANGE(""https://docs.google.com/spreadsheets/d/1bRrNKwbHDVktQG10isr5vbWRtt5spIZPpkOSWgbT5ug/edit?usp=sharing"",""ศรีสะเกษ!J84"")+IMPORTRANGE(""https://docs.google.com/s"&amp;"preadsheets/d/17P34_Ow5kFBfdQD0qspb2UuPX5zpi6WMrQzslghyvrI/edit?usp=sharing"",""สกลนคร!J84"")+IMPORTRANGE(""https://docs.google.com/spreadsheets/d/1yswqbM3-AEpThF3ZSUa1AcmHnmRTF1vlJ1CZGcJ8YuU/edit?usp=sharing"",""สุรินทร์!J84"")+IMPORTRANGE(""https://docs"&amp;".google.com/spreadsheets/d/13JHU_EFbsQOUQ0JSQ3dWy1VTRosIWcDq6Nc99z2qzdc/edit?usp=sharing"",""หนองคาย!J84"")+IMPORTRANGE(""https://docs.google.com/spreadsheets/d/1Hx73zIEgVdDZZaYSTc46Dqv64atFhpr3GelxLbaIN8A/edit?usp=sharing"",""หนองบัวลำภู!J84"")+IMPORTRAN"&amp;"GE(""https://docs.google.com/spreadsheets/d/1lFxr3ctmjFN90yc-xV6jrQ9Ty8BKYVBWnAZ15wcNIJc/edit?usp=sharing"",""อำนาจเจริญ!J84"")+IMPORTRANGE(""https://docs.google.com/spreadsheets/d/1gF7RJpRnL-1oyjyeWxs5SFWEH7y8ahOZsQlyp2A2e-A/edit?usp=sharing"",""อุดรธานี"&amp;"!J84"")+IMPORTRANGE(""https://docs.google.com/spreadsheets/d/1kfLP0j3INXRa8bTDpcEmoWewMBV61jlFlfzczfjWIgc/edit?usp=sharing"",""อุบลราชธานี!J84"")"),0)</f>
        <v>0</v>
      </c>
      <c r="K84" s="182">
        <f t="shared" ca="1" si="41"/>
        <v>0</v>
      </c>
      <c r="L84" s="165"/>
      <c r="M84" s="165"/>
      <c r="N84" s="165"/>
      <c r="O84" s="165"/>
      <c r="P84" s="165"/>
    </row>
    <row r="85" spans="1:16" ht="18.75" x14ac:dyDescent="0.25">
      <c r="A85" s="167"/>
      <c r="B85" s="168"/>
      <c r="C85" s="168"/>
      <c r="D85" s="168"/>
      <c r="E85" s="174"/>
      <c r="F85" s="174"/>
      <c r="G85" s="172"/>
      <c r="H85" s="179" t="s">
        <v>33</v>
      </c>
      <c r="I85" s="180">
        <f ca="1">IFERROR(__xludf.DUMMYFUNCTION("IMPORTRANGE(""https://docs.google.com/spreadsheets/d/1yhBcrRPreicbMKl9Bu_Snb2-OcQAF62RKfhTLhJ2eAA/edit?usp=sharing"",""กาฬสินธุ์!I85"")+IMPORTRANGE(""https://docs.google.com/spreadsheets/d/1aHkj4IaQMThhwWwevcOymEh837vdxeC_PycurhTbGFA/edit?usp=sharing"","""&amp;"ขอนแก่น!I85"")+IMPORTRANGE(""https://docs.google.com/spreadsheets/d/1FvTu2DsIWUjP6WCWra38Bkj_oOl_sOMf14r5Fg5srxU/edit?usp=sharing"",""ชัยภูมิ!I85"")+IMPORTRANGE(""https://docs.google.com/spreadsheets/d/1XVB7oCJ3pr-vBUdflwPQ8Z2LlzhnCvZaaYjAfP-647E/edit?usp"&amp;"=sharing"",""นครพนม!I85"")+IMPORTRANGE(""https://docs.google.com/spreadsheets/d/1Mnpb-8PYAgn85W6KOTD40hc_Xc55CaLfHoGAbrZ8tls/edit?usp=sharing"",""นครราชสีมา!I85"")+IMPORTRANGE(""https://docs.google.com/spreadsheets/d/1xoDLGBv9CYbyosIhki0kTq6IpYNj-gpjxfobn"&amp;"aDiut0/edit?usp=sharing"",""บึงกาฬ!I85"")+IMPORTRANGE(""https://docs.google.com/spreadsheets/d/1MMPq-JyI6DSgQETxuSiXkesP-P7JHuemnE6QJIa-Nlw/edit?usp=sharing"",""บุรีรัมย์!I85"")+IMPORTRANGE(""https://docs.google.com/spreadsheets/d/1l6IZ8xUPgMrESzcTYwhA1k_"&amp;"tPjeQjJPTqlm8Gd9eU5g/edit?usp=sharing"",""มหาสารคาม!I85"")+IMPORTRANGE(""https://docs.google.com/spreadsheets/d/1uB74YLqNjWX6FObjekfB2NtSYigTQyR2rq9u4Ub2Sq4/edit?usp=sharing"",""มุกดาหาร!I85"")+IMPORTRANGE(""https://docs.google.com/spreadsheets/d/1NexK3ge"&amp;"CPxCTO1fzNF8dPec7yZyUx3OaWkFBC9HsQOo/edit?usp=sharing"",""ยโสธร!I85"")+IMPORTRANGE(""https://docs.google.com/spreadsheets/d/1v_cJrbBlyqmnHPReHk44g9NrMRdENNlSy_E_c5M9fIg/edit?usp=sharing"",""ร้อยเอ็ด!I85"")+IMPORTRANGE(""https://docs.google.com/spreadsheet"&amp;"s/d/1Ul4RCpCX66NxYADU1QpwAPjOmBzW64SsT11s1wzXw_c/edit?usp=sharing"",""เลย!I85"")+IMPORTRANGE(""https://docs.google.com/spreadsheets/d/1bRrNKwbHDVktQG10isr5vbWRtt5spIZPpkOSWgbT5ug/edit?usp=sharing"",""ศรีสะเกษ!I85"")+IMPORTRANGE(""https://docs.google.com/s"&amp;"preadsheets/d/17P34_Ow5kFBfdQD0qspb2UuPX5zpi6WMrQzslghyvrI/edit?usp=sharing"",""สกลนคร!I85"")+IMPORTRANGE(""https://docs.google.com/spreadsheets/d/1yswqbM3-AEpThF3ZSUa1AcmHnmRTF1vlJ1CZGcJ8YuU/edit?usp=sharing"",""สุรินทร์!I85"")+IMPORTRANGE(""https://docs"&amp;".google.com/spreadsheets/d/13JHU_EFbsQOUQ0JSQ3dWy1VTRosIWcDq6Nc99z2qzdc/edit?usp=sharing"",""หนองคาย!I85"")+IMPORTRANGE(""https://docs.google.com/spreadsheets/d/1Hx73zIEgVdDZZaYSTc46Dqv64atFhpr3GelxLbaIN8A/edit?usp=sharing"",""หนองบัวลำภู!I85"")+IMPORTRAN"&amp;"GE(""https://docs.google.com/spreadsheets/d/1lFxr3ctmjFN90yc-xV6jrQ9Ty8BKYVBWnAZ15wcNIJc/edit?usp=sharing"",""อำนาจเจริญ!I85"")+IMPORTRANGE(""https://docs.google.com/spreadsheets/d/1gF7RJpRnL-1oyjyeWxs5SFWEH7y8ahOZsQlyp2A2e-A/edit?usp=sharing"",""อุดรธานี"&amp;"!I85"")+IMPORTRANGE(""https://docs.google.com/spreadsheets/d/1kfLP0j3INXRa8bTDpcEmoWewMBV61jlFlfzczfjWIgc/edit?usp=sharing"",""อุบลราชธานี!I85"")"),0)</f>
        <v>0</v>
      </c>
      <c r="J85" s="181">
        <f ca="1">IFERROR(__xludf.DUMMYFUNCTION("IMPORTRANGE(""https://docs.google.com/spreadsheets/d/1yhBcrRPreicbMKl9Bu_Snb2-OcQAF62RKfhTLhJ2eAA/edit?usp=sharing"",""กาฬสินธุ์!J85"")+IMPORTRANGE(""https://docs.google.com/spreadsheets/d/1aHkj4IaQMThhwWwevcOymEh837vdxeC_PycurhTbGFA/edit?usp=sharing"","""&amp;"ขอนแก่น!J85"")+IMPORTRANGE(""https://docs.google.com/spreadsheets/d/1FvTu2DsIWUjP6WCWra38Bkj_oOl_sOMf14r5Fg5srxU/edit?usp=sharing"",""ชัยภูมิ!J85"")+IMPORTRANGE(""https://docs.google.com/spreadsheets/d/1XVB7oCJ3pr-vBUdflwPQ8Z2LlzhnCvZaaYjAfP-647E/edit?usp"&amp;"=sharing"",""นครพนม!J85"")+IMPORTRANGE(""https://docs.google.com/spreadsheets/d/1Mnpb-8PYAgn85W6KOTD40hc_Xc55CaLfHoGAbrZ8tls/edit?usp=sharing"",""นครราชสีมา!J85"")+IMPORTRANGE(""https://docs.google.com/spreadsheets/d/1xoDLGBv9CYbyosIhki0kTq6IpYNj-gpjxfobn"&amp;"aDiut0/edit?usp=sharing"",""บึงกาฬ!J85"")+IMPORTRANGE(""https://docs.google.com/spreadsheets/d/1MMPq-JyI6DSgQETxuSiXkesP-P7JHuemnE6QJIa-Nlw/edit?usp=sharing"",""บุรีรัมย์!J85"")+IMPORTRANGE(""https://docs.google.com/spreadsheets/d/1l6IZ8xUPgMrESzcTYwhA1k_"&amp;"tPjeQjJPTqlm8Gd9eU5g/edit?usp=sharing"",""มหาสารคาม!J85"")+IMPORTRANGE(""https://docs.google.com/spreadsheets/d/1uB74YLqNjWX6FObjekfB2NtSYigTQyR2rq9u4Ub2Sq4/edit?usp=sharing"",""มุกดาหาร!J85"")+IMPORTRANGE(""https://docs.google.com/spreadsheets/d/1NexK3ge"&amp;"CPxCTO1fzNF8dPec7yZyUx3OaWkFBC9HsQOo/edit?usp=sharing"",""ยโสธร!J85"")+IMPORTRANGE(""https://docs.google.com/spreadsheets/d/1v_cJrbBlyqmnHPReHk44g9NrMRdENNlSy_E_c5M9fIg/edit?usp=sharing"",""ร้อยเอ็ด!J85"")+IMPORTRANGE(""https://docs.google.com/spreadsheet"&amp;"s/d/1Ul4RCpCX66NxYADU1QpwAPjOmBzW64SsT11s1wzXw_c/edit?usp=sharing"",""เลย!J85"")+IMPORTRANGE(""https://docs.google.com/spreadsheets/d/1bRrNKwbHDVktQG10isr5vbWRtt5spIZPpkOSWgbT5ug/edit?usp=sharing"",""ศรีสะเกษ!J85"")+IMPORTRANGE(""https://docs.google.com/s"&amp;"preadsheets/d/17P34_Ow5kFBfdQD0qspb2UuPX5zpi6WMrQzslghyvrI/edit?usp=sharing"",""สกลนคร!J85"")+IMPORTRANGE(""https://docs.google.com/spreadsheets/d/1yswqbM3-AEpThF3ZSUa1AcmHnmRTF1vlJ1CZGcJ8YuU/edit?usp=sharing"",""สุรินทร์!J85"")+IMPORTRANGE(""https://docs"&amp;".google.com/spreadsheets/d/13JHU_EFbsQOUQ0JSQ3dWy1VTRosIWcDq6Nc99z2qzdc/edit?usp=sharing"",""หนองคาย!J85"")+IMPORTRANGE(""https://docs.google.com/spreadsheets/d/1Hx73zIEgVdDZZaYSTc46Dqv64atFhpr3GelxLbaIN8A/edit?usp=sharing"",""หนองบัวลำภู!J85"")+IMPORTRAN"&amp;"GE(""https://docs.google.com/spreadsheets/d/1lFxr3ctmjFN90yc-xV6jrQ9Ty8BKYVBWnAZ15wcNIJc/edit?usp=sharing"",""อำนาจเจริญ!J85"")+IMPORTRANGE(""https://docs.google.com/spreadsheets/d/1gF7RJpRnL-1oyjyeWxs5SFWEH7y8ahOZsQlyp2A2e-A/edit?usp=sharing"",""อุดรธานี"&amp;"!J85"")+IMPORTRANGE(""https://docs.google.com/spreadsheets/d/1kfLP0j3INXRa8bTDpcEmoWewMBV61jlFlfzczfjWIgc/edit?usp=sharing"",""อุบลราชธานี!J85"")"),0)</f>
        <v>0</v>
      </c>
      <c r="K85" s="182">
        <f t="shared" ca="1" si="41"/>
        <v>0</v>
      </c>
      <c r="L85" s="165"/>
      <c r="M85" s="165"/>
      <c r="N85" s="165"/>
      <c r="O85" s="165"/>
      <c r="P85" s="165"/>
    </row>
    <row r="86" spans="1:16" ht="18.75" x14ac:dyDescent="0.25">
      <c r="A86" s="167"/>
      <c r="B86" s="168"/>
      <c r="C86" s="168"/>
      <c r="D86" s="168"/>
      <c r="E86" s="178" t="s">
        <v>39</v>
      </c>
      <c r="F86" s="174"/>
      <c r="G86" s="172"/>
      <c r="H86" s="179" t="s">
        <v>32</v>
      </c>
      <c r="I86" s="180">
        <f ca="1">IFERROR(__xludf.DUMMYFUNCTION("IMPORTRANGE(""https://docs.google.com/spreadsheets/d/1yhBcrRPreicbMKl9Bu_Snb2-OcQAF62RKfhTLhJ2eAA/edit?usp=sharing"",""กาฬสินธุ์!I86"")+IMPORTRANGE(""https://docs.google.com/spreadsheets/d/1aHkj4IaQMThhwWwevcOymEh837vdxeC_PycurhTbGFA/edit?usp=sharing"","""&amp;"ขอนแก่น!I86"")+IMPORTRANGE(""https://docs.google.com/spreadsheets/d/1FvTu2DsIWUjP6WCWra38Bkj_oOl_sOMf14r5Fg5srxU/edit?usp=sharing"",""ชัยภูมิ!I86"")+IMPORTRANGE(""https://docs.google.com/spreadsheets/d/1XVB7oCJ3pr-vBUdflwPQ8Z2LlzhnCvZaaYjAfP-647E/edit?usp"&amp;"=sharing"",""นครพนม!I86"")+IMPORTRANGE(""https://docs.google.com/spreadsheets/d/1Mnpb-8PYAgn85W6KOTD40hc_Xc55CaLfHoGAbrZ8tls/edit?usp=sharing"",""นครราชสีมา!I86"")+IMPORTRANGE(""https://docs.google.com/spreadsheets/d/1xoDLGBv9CYbyosIhki0kTq6IpYNj-gpjxfobn"&amp;"aDiut0/edit?usp=sharing"",""บึงกาฬ!I86"")+IMPORTRANGE(""https://docs.google.com/spreadsheets/d/1MMPq-JyI6DSgQETxuSiXkesP-P7JHuemnE6QJIa-Nlw/edit?usp=sharing"",""บุรีรัมย์!I86"")+IMPORTRANGE(""https://docs.google.com/spreadsheets/d/1l6IZ8xUPgMrESzcTYwhA1k_"&amp;"tPjeQjJPTqlm8Gd9eU5g/edit?usp=sharing"",""มหาสารคาม!I86"")+IMPORTRANGE(""https://docs.google.com/spreadsheets/d/1uB74YLqNjWX6FObjekfB2NtSYigTQyR2rq9u4Ub2Sq4/edit?usp=sharing"",""มุกดาหาร!I86"")+IMPORTRANGE(""https://docs.google.com/spreadsheets/d/1NexK3ge"&amp;"CPxCTO1fzNF8dPec7yZyUx3OaWkFBC9HsQOo/edit?usp=sharing"",""ยโสธร!I86"")+IMPORTRANGE(""https://docs.google.com/spreadsheets/d/1v_cJrbBlyqmnHPReHk44g9NrMRdENNlSy_E_c5M9fIg/edit?usp=sharing"",""ร้อยเอ็ด!I86"")+IMPORTRANGE(""https://docs.google.com/spreadsheet"&amp;"s/d/1Ul4RCpCX66NxYADU1QpwAPjOmBzW64SsT11s1wzXw_c/edit?usp=sharing"",""เลย!I86"")+IMPORTRANGE(""https://docs.google.com/spreadsheets/d/1bRrNKwbHDVktQG10isr5vbWRtt5spIZPpkOSWgbT5ug/edit?usp=sharing"",""ศรีสะเกษ!I86"")+IMPORTRANGE(""https://docs.google.com/s"&amp;"preadsheets/d/17P34_Ow5kFBfdQD0qspb2UuPX5zpi6WMrQzslghyvrI/edit?usp=sharing"",""สกลนคร!I86"")+IMPORTRANGE(""https://docs.google.com/spreadsheets/d/1yswqbM3-AEpThF3ZSUa1AcmHnmRTF1vlJ1CZGcJ8YuU/edit?usp=sharing"",""สุรินทร์!I86"")+IMPORTRANGE(""https://docs"&amp;".google.com/spreadsheets/d/13JHU_EFbsQOUQ0JSQ3dWy1VTRosIWcDq6Nc99z2qzdc/edit?usp=sharing"",""หนองคาย!I86"")+IMPORTRANGE(""https://docs.google.com/spreadsheets/d/1Hx73zIEgVdDZZaYSTc46Dqv64atFhpr3GelxLbaIN8A/edit?usp=sharing"",""หนองบัวลำภู!I86"")+IMPORTRAN"&amp;"GE(""https://docs.google.com/spreadsheets/d/1lFxr3ctmjFN90yc-xV6jrQ9Ty8BKYVBWnAZ15wcNIJc/edit?usp=sharing"",""อำนาจเจริญ!I86"")+IMPORTRANGE(""https://docs.google.com/spreadsheets/d/1gF7RJpRnL-1oyjyeWxs5SFWEH7y8ahOZsQlyp2A2e-A/edit?usp=sharing"",""อุดรธานี"&amp;"!I86"")+IMPORTRANGE(""https://docs.google.com/spreadsheets/d/1kfLP0j3INXRa8bTDpcEmoWewMBV61jlFlfzczfjWIgc/edit?usp=sharing"",""อุบลราชธานี!I86"")"),0)</f>
        <v>0</v>
      </c>
      <c r="J86" s="181">
        <f ca="1">IFERROR(__xludf.DUMMYFUNCTION("IMPORTRANGE(""https://docs.google.com/spreadsheets/d/1yhBcrRPreicbMKl9Bu_Snb2-OcQAF62RKfhTLhJ2eAA/edit?usp=sharing"",""กาฬสินธุ์!J86"")+IMPORTRANGE(""https://docs.google.com/spreadsheets/d/1aHkj4IaQMThhwWwevcOymEh837vdxeC_PycurhTbGFA/edit?usp=sharing"","""&amp;"ขอนแก่น!J86"")+IMPORTRANGE(""https://docs.google.com/spreadsheets/d/1FvTu2DsIWUjP6WCWra38Bkj_oOl_sOMf14r5Fg5srxU/edit?usp=sharing"",""ชัยภูมิ!J86"")+IMPORTRANGE(""https://docs.google.com/spreadsheets/d/1XVB7oCJ3pr-vBUdflwPQ8Z2LlzhnCvZaaYjAfP-647E/edit?usp"&amp;"=sharing"",""นครพนม!J86"")+IMPORTRANGE(""https://docs.google.com/spreadsheets/d/1Mnpb-8PYAgn85W6KOTD40hc_Xc55CaLfHoGAbrZ8tls/edit?usp=sharing"",""นครราชสีมา!J86"")+IMPORTRANGE(""https://docs.google.com/spreadsheets/d/1xoDLGBv9CYbyosIhki0kTq6IpYNj-gpjxfobn"&amp;"aDiut0/edit?usp=sharing"",""บึงกาฬ!J86"")+IMPORTRANGE(""https://docs.google.com/spreadsheets/d/1MMPq-JyI6DSgQETxuSiXkesP-P7JHuemnE6QJIa-Nlw/edit?usp=sharing"",""บุรีรัมย์!J86"")+IMPORTRANGE(""https://docs.google.com/spreadsheets/d/1l6IZ8xUPgMrESzcTYwhA1k_"&amp;"tPjeQjJPTqlm8Gd9eU5g/edit?usp=sharing"",""มหาสารคาม!J86"")+IMPORTRANGE(""https://docs.google.com/spreadsheets/d/1uB74YLqNjWX6FObjekfB2NtSYigTQyR2rq9u4Ub2Sq4/edit?usp=sharing"",""มุกดาหาร!J86"")+IMPORTRANGE(""https://docs.google.com/spreadsheets/d/1NexK3ge"&amp;"CPxCTO1fzNF8dPec7yZyUx3OaWkFBC9HsQOo/edit?usp=sharing"",""ยโสธร!J86"")+IMPORTRANGE(""https://docs.google.com/spreadsheets/d/1v_cJrbBlyqmnHPReHk44g9NrMRdENNlSy_E_c5M9fIg/edit?usp=sharing"",""ร้อยเอ็ด!J86"")+IMPORTRANGE(""https://docs.google.com/spreadsheet"&amp;"s/d/1Ul4RCpCX66NxYADU1QpwAPjOmBzW64SsT11s1wzXw_c/edit?usp=sharing"",""เลย!J86"")+IMPORTRANGE(""https://docs.google.com/spreadsheets/d/1bRrNKwbHDVktQG10isr5vbWRtt5spIZPpkOSWgbT5ug/edit?usp=sharing"",""ศรีสะเกษ!J86"")+IMPORTRANGE(""https://docs.google.com/s"&amp;"preadsheets/d/17P34_Ow5kFBfdQD0qspb2UuPX5zpi6WMrQzslghyvrI/edit?usp=sharing"",""สกลนคร!J86"")+IMPORTRANGE(""https://docs.google.com/spreadsheets/d/1yswqbM3-AEpThF3ZSUa1AcmHnmRTF1vlJ1CZGcJ8YuU/edit?usp=sharing"",""สุรินทร์!J86"")+IMPORTRANGE(""https://docs"&amp;".google.com/spreadsheets/d/13JHU_EFbsQOUQ0JSQ3dWy1VTRosIWcDq6Nc99z2qzdc/edit?usp=sharing"",""หนองคาย!J86"")+IMPORTRANGE(""https://docs.google.com/spreadsheets/d/1Hx73zIEgVdDZZaYSTc46Dqv64atFhpr3GelxLbaIN8A/edit?usp=sharing"",""หนองบัวลำภู!J86"")+IMPORTRAN"&amp;"GE(""https://docs.google.com/spreadsheets/d/1lFxr3ctmjFN90yc-xV6jrQ9Ty8BKYVBWnAZ15wcNIJc/edit?usp=sharing"",""อำนาจเจริญ!J86"")+IMPORTRANGE(""https://docs.google.com/spreadsheets/d/1gF7RJpRnL-1oyjyeWxs5SFWEH7y8ahOZsQlyp2A2e-A/edit?usp=sharing"",""อุดรธานี"&amp;"!J86"")+IMPORTRANGE(""https://docs.google.com/spreadsheets/d/1kfLP0j3INXRa8bTDpcEmoWewMBV61jlFlfzczfjWIgc/edit?usp=sharing"",""อุบลราชธานี!J86"")"),0)</f>
        <v>0</v>
      </c>
      <c r="K86" s="182">
        <f t="shared" ca="1" si="41"/>
        <v>0</v>
      </c>
      <c r="L86" s="165"/>
      <c r="M86" s="165"/>
      <c r="N86" s="165"/>
      <c r="O86" s="165"/>
      <c r="P86" s="165"/>
    </row>
    <row r="87" spans="1:16" ht="18.75" x14ac:dyDescent="0.25">
      <c r="A87" s="167"/>
      <c r="B87" s="168"/>
      <c r="C87" s="168"/>
      <c r="D87" s="168"/>
      <c r="E87" s="174"/>
      <c r="F87" s="174"/>
      <c r="G87" s="172"/>
      <c r="H87" s="179" t="s">
        <v>33</v>
      </c>
      <c r="I87" s="180">
        <f ca="1">IFERROR(__xludf.DUMMYFUNCTION("IMPORTRANGE(""https://docs.google.com/spreadsheets/d/1yhBcrRPreicbMKl9Bu_Snb2-OcQAF62RKfhTLhJ2eAA/edit?usp=sharing"",""กาฬสินธุ์!I87"")+IMPORTRANGE(""https://docs.google.com/spreadsheets/d/1aHkj4IaQMThhwWwevcOymEh837vdxeC_PycurhTbGFA/edit?usp=sharing"","""&amp;"ขอนแก่น!I87"")+IMPORTRANGE(""https://docs.google.com/spreadsheets/d/1FvTu2DsIWUjP6WCWra38Bkj_oOl_sOMf14r5Fg5srxU/edit?usp=sharing"",""ชัยภูมิ!I87"")+IMPORTRANGE(""https://docs.google.com/spreadsheets/d/1XVB7oCJ3pr-vBUdflwPQ8Z2LlzhnCvZaaYjAfP-647E/edit?usp"&amp;"=sharing"",""นครพนม!I87"")+IMPORTRANGE(""https://docs.google.com/spreadsheets/d/1Mnpb-8PYAgn85W6KOTD40hc_Xc55CaLfHoGAbrZ8tls/edit?usp=sharing"",""นครราชสีมา!I87"")+IMPORTRANGE(""https://docs.google.com/spreadsheets/d/1xoDLGBv9CYbyosIhki0kTq6IpYNj-gpjxfobn"&amp;"aDiut0/edit?usp=sharing"",""บึงกาฬ!I87"")+IMPORTRANGE(""https://docs.google.com/spreadsheets/d/1MMPq-JyI6DSgQETxuSiXkesP-P7JHuemnE6QJIa-Nlw/edit?usp=sharing"",""บุรีรัมย์!I87"")+IMPORTRANGE(""https://docs.google.com/spreadsheets/d/1l6IZ8xUPgMrESzcTYwhA1k_"&amp;"tPjeQjJPTqlm8Gd9eU5g/edit?usp=sharing"",""มหาสารคาม!I87"")+IMPORTRANGE(""https://docs.google.com/spreadsheets/d/1uB74YLqNjWX6FObjekfB2NtSYigTQyR2rq9u4Ub2Sq4/edit?usp=sharing"",""มุกดาหาร!I87"")+IMPORTRANGE(""https://docs.google.com/spreadsheets/d/1NexK3ge"&amp;"CPxCTO1fzNF8dPec7yZyUx3OaWkFBC9HsQOo/edit?usp=sharing"",""ยโสธร!I87"")+IMPORTRANGE(""https://docs.google.com/spreadsheets/d/1v_cJrbBlyqmnHPReHk44g9NrMRdENNlSy_E_c5M9fIg/edit?usp=sharing"",""ร้อยเอ็ด!I87"")+IMPORTRANGE(""https://docs.google.com/spreadsheet"&amp;"s/d/1Ul4RCpCX66NxYADU1QpwAPjOmBzW64SsT11s1wzXw_c/edit?usp=sharing"",""เลย!I87"")+IMPORTRANGE(""https://docs.google.com/spreadsheets/d/1bRrNKwbHDVktQG10isr5vbWRtt5spIZPpkOSWgbT5ug/edit?usp=sharing"",""ศรีสะเกษ!I87"")+IMPORTRANGE(""https://docs.google.com/s"&amp;"preadsheets/d/17P34_Ow5kFBfdQD0qspb2UuPX5zpi6WMrQzslghyvrI/edit?usp=sharing"",""สกลนคร!I87"")+IMPORTRANGE(""https://docs.google.com/spreadsheets/d/1yswqbM3-AEpThF3ZSUa1AcmHnmRTF1vlJ1CZGcJ8YuU/edit?usp=sharing"",""สุรินทร์!I87"")+IMPORTRANGE(""https://docs"&amp;".google.com/spreadsheets/d/13JHU_EFbsQOUQ0JSQ3dWy1VTRosIWcDq6Nc99z2qzdc/edit?usp=sharing"",""หนองคาย!I87"")+IMPORTRANGE(""https://docs.google.com/spreadsheets/d/1Hx73zIEgVdDZZaYSTc46Dqv64atFhpr3GelxLbaIN8A/edit?usp=sharing"",""หนองบัวลำภู!I87"")+IMPORTRAN"&amp;"GE(""https://docs.google.com/spreadsheets/d/1lFxr3ctmjFN90yc-xV6jrQ9Ty8BKYVBWnAZ15wcNIJc/edit?usp=sharing"",""อำนาจเจริญ!I87"")+IMPORTRANGE(""https://docs.google.com/spreadsheets/d/1gF7RJpRnL-1oyjyeWxs5SFWEH7y8ahOZsQlyp2A2e-A/edit?usp=sharing"",""อุดรธานี"&amp;"!I87"")+IMPORTRANGE(""https://docs.google.com/spreadsheets/d/1kfLP0j3INXRa8bTDpcEmoWewMBV61jlFlfzczfjWIgc/edit?usp=sharing"",""อุบลราชธานี!I87"")"),0)</f>
        <v>0</v>
      </c>
      <c r="J87" s="181">
        <f ca="1">IFERROR(__xludf.DUMMYFUNCTION("IMPORTRANGE(""https://docs.google.com/spreadsheets/d/1yhBcrRPreicbMKl9Bu_Snb2-OcQAF62RKfhTLhJ2eAA/edit?usp=sharing"",""กาฬสินธุ์!J87"")+IMPORTRANGE(""https://docs.google.com/spreadsheets/d/1aHkj4IaQMThhwWwevcOymEh837vdxeC_PycurhTbGFA/edit?usp=sharing"","""&amp;"ขอนแก่น!J87"")+IMPORTRANGE(""https://docs.google.com/spreadsheets/d/1FvTu2DsIWUjP6WCWra38Bkj_oOl_sOMf14r5Fg5srxU/edit?usp=sharing"",""ชัยภูมิ!J87"")+IMPORTRANGE(""https://docs.google.com/spreadsheets/d/1XVB7oCJ3pr-vBUdflwPQ8Z2LlzhnCvZaaYjAfP-647E/edit?usp"&amp;"=sharing"",""นครพนม!J87"")+IMPORTRANGE(""https://docs.google.com/spreadsheets/d/1Mnpb-8PYAgn85W6KOTD40hc_Xc55CaLfHoGAbrZ8tls/edit?usp=sharing"",""นครราชสีมา!J87"")+IMPORTRANGE(""https://docs.google.com/spreadsheets/d/1xoDLGBv9CYbyosIhki0kTq6IpYNj-gpjxfobn"&amp;"aDiut0/edit?usp=sharing"",""บึงกาฬ!J87"")+IMPORTRANGE(""https://docs.google.com/spreadsheets/d/1MMPq-JyI6DSgQETxuSiXkesP-P7JHuemnE6QJIa-Nlw/edit?usp=sharing"",""บุรีรัมย์!J87"")+IMPORTRANGE(""https://docs.google.com/spreadsheets/d/1l6IZ8xUPgMrESzcTYwhA1k_"&amp;"tPjeQjJPTqlm8Gd9eU5g/edit?usp=sharing"",""มหาสารคาม!J87"")+IMPORTRANGE(""https://docs.google.com/spreadsheets/d/1uB74YLqNjWX6FObjekfB2NtSYigTQyR2rq9u4Ub2Sq4/edit?usp=sharing"",""มุกดาหาร!J87"")+IMPORTRANGE(""https://docs.google.com/spreadsheets/d/1NexK3ge"&amp;"CPxCTO1fzNF8dPec7yZyUx3OaWkFBC9HsQOo/edit?usp=sharing"",""ยโสธร!J87"")+IMPORTRANGE(""https://docs.google.com/spreadsheets/d/1v_cJrbBlyqmnHPReHk44g9NrMRdENNlSy_E_c5M9fIg/edit?usp=sharing"",""ร้อยเอ็ด!J87"")+IMPORTRANGE(""https://docs.google.com/spreadsheet"&amp;"s/d/1Ul4RCpCX66NxYADU1QpwAPjOmBzW64SsT11s1wzXw_c/edit?usp=sharing"",""เลย!J87"")+IMPORTRANGE(""https://docs.google.com/spreadsheets/d/1bRrNKwbHDVktQG10isr5vbWRtt5spIZPpkOSWgbT5ug/edit?usp=sharing"",""ศรีสะเกษ!J87"")+IMPORTRANGE(""https://docs.google.com/s"&amp;"preadsheets/d/17P34_Ow5kFBfdQD0qspb2UuPX5zpi6WMrQzslghyvrI/edit?usp=sharing"",""สกลนคร!J87"")+IMPORTRANGE(""https://docs.google.com/spreadsheets/d/1yswqbM3-AEpThF3ZSUa1AcmHnmRTF1vlJ1CZGcJ8YuU/edit?usp=sharing"",""สุรินทร์!J87"")+IMPORTRANGE(""https://docs"&amp;".google.com/spreadsheets/d/13JHU_EFbsQOUQ0JSQ3dWy1VTRosIWcDq6Nc99z2qzdc/edit?usp=sharing"",""หนองคาย!J87"")+IMPORTRANGE(""https://docs.google.com/spreadsheets/d/1Hx73zIEgVdDZZaYSTc46Dqv64atFhpr3GelxLbaIN8A/edit?usp=sharing"",""หนองบัวลำภู!J87"")+IMPORTRAN"&amp;"GE(""https://docs.google.com/spreadsheets/d/1lFxr3ctmjFN90yc-xV6jrQ9Ty8BKYVBWnAZ15wcNIJc/edit?usp=sharing"",""อำนาจเจริญ!J87"")+IMPORTRANGE(""https://docs.google.com/spreadsheets/d/1gF7RJpRnL-1oyjyeWxs5SFWEH7y8ahOZsQlyp2A2e-A/edit?usp=sharing"",""อุดรธานี"&amp;"!J87"")+IMPORTRANGE(""https://docs.google.com/spreadsheets/d/1kfLP0j3INXRa8bTDpcEmoWewMBV61jlFlfzczfjWIgc/edit?usp=sharing"",""อุบลราชธานี!J87"")"),0)</f>
        <v>0</v>
      </c>
      <c r="K87" s="182">
        <f t="shared" ca="1" si="41"/>
        <v>0</v>
      </c>
      <c r="L87" s="165"/>
      <c r="M87" s="165"/>
      <c r="N87" s="165"/>
      <c r="O87" s="165"/>
      <c r="P87" s="165"/>
    </row>
    <row r="88" spans="1:16" ht="18.75" x14ac:dyDescent="0.25">
      <c r="A88" s="167"/>
      <c r="B88" s="168"/>
      <c r="C88" s="168"/>
      <c r="D88" s="168"/>
      <c r="E88" s="178" t="s">
        <v>40</v>
      </c>
      <c r="F88" s="174"/>
      <c r="G88" s="172"/>
      <c r="H88" s="179" t="s">
        <v>32</v>
      </c>
      <c r="I88" s="180">
        <f ca="1">IFERROR(__xludf.DUMMYFUNCTION("IMPORTRANGE(""https://docs.google.com/spreadsheets/d/1yhBcrRPreicbMKl9Bu_Snb2-OcQAF62RKfhTLhJ2eAA/edit?usp=sharing"",""กาฬสินธุ์!I88"")+IMPORTRANGE(""https://docs.google.com/spreadsheets/d/1aHkj4IaQMThhwWwevcOymEh837vdxeC_PycurhTbGFA/edit?usp=sharing"","""&amp;"ขอนแก่น!I88"")+IMPORTRANGE(""https://docs.google.com/spreadsheets/d/1FvTu2DsIWUjP6WCWra38Bkj_oOl_sOMf14r5Fg5srxU/edit?usp=sharing"",""ชัยภูมิ!I88"")+IMPORTRANGE(""https://docs.google.com/spreadsheets/d/1XVB7oCJ3pr-vBUdflwPQ8Z2LlzhnCvZaaYjAfP-647E/edit?usp"&amp;"=sharing"",""นครพนม!I88"")+IMPORTRANGE(""https://docs.google.com/spreadsheets/d/1Mnpb-8PYAgn85W6KOTD40hc_Xc55CaLfHoGAbrZ8tls/edit?usp=sharing"",""นครราชสีมา!I88"")+IMPORTRANGE(""https://docs.google.com/spreadsheets/d/1xoDLGBv9CYbyosIhki0kTq6IpYNj-gpjxfobn"&amp;"aDiut0/edit?usp=sharing"",""บึงกาฬ!I88"")+IMPORTRANGE(""https://docs.google.com/spreadsheets/d/1MMPq-JyI6DSgQETxuSiXkesP-P7JHuemnE6QJIa-Nlw/edit?usp=sharing"",""บุรีรัมย์!I88"")+IMPORTRANGE(""https://docs.google.com/spreadsheets/d/1l6IZ8xUPgMrESzcTYwhA1k_"&amp;"tPjeQjJPTqlm8Gd9eU5g/edit?usp=sharing"",""มหาสารคาม!I88"")+IMPORTRANGE(""https://docs.google.com/spreadsheets/d/1uB74YLqNjWX6FObjekfB2NtSYigTQyR2rq9u4Ub2Sq4/edit?usp=sharing"",""มุกดาหาร!I88"")+IMPORTRANGE(""https://docs.google.com/spreadsheets/d/1NexK3ge"&amp;"CPxCTO1fzNF8dPec7yZyUx3OaWkFBC9HsQOo/edit?usp=sharing"",""ยโสธร!I88"")+IMPORTRANGE(""https://docs.google.com/spreadsheets/d/1v_cJrbBlyqmnHPReHk44g9NrMRdENNlSy_E_c5M9fIg/edit?usp=sharing"",""ร้อยเอ็ด!I88"")+IMPORTRANGE(""https://docs.google.com/spreadsheet"&amp;"s/d/1Ul4RCpCX66NxYADU1QpwAPjOmBzW64SsT11s1wzXw_c/edit?usp=sharing"",""เลย!I88"")+IMPORTRANGE(""https://docs.google.com/spreadsheets/d/1bRrNKwbHDVktQG10isr5vbWRtt5spIZPpkOSWgbT5ug/edit?usp=sharing"",""ศรีสะเกษ!I88"")+IMPORTRANGE(""https://docs.google.com/s"&amp;"preadsheets/d/17P34_Ow5kFBfdQD0qspb2UuPX5zpi6WMrQzslghyvrI/edit?usp=sharing"",""สกลนคร!I88"")+IMPORTRANGE(""https://docs.google.com/spreadsheets/d/1yswqbM3-AEpThF3ZSUa1AcmHnmRTF1vlJ1CZGcJ8YuU/edit?usp=sharing"",""สุรินทร์!I88"")+IMPORTRANGE(""https://docs"&amp;".google.com/spreadsheets/d/13JHU_EFbsQOUQ0JSQ3dWy1VTRosIWcDq6Nc99z2qzdc/edit?usp=sharing"",""หนองคาย!I88"")+IMPORTRANGE(""https://docs.google.com/spreadsheets/d/1Hx73zIEgVdDZZaYSTc46Dqv64atFhpr3GelxLbaIN8A/edit?usp=sharing"",""หนองบัวลำภู!I88"")+IMPORTRAN"&amp;"GE(""https://docs.google.com/spreadsheets/d/1lFxr3ctmjFN90yc-xV6jrQ9Ty8BKYVBWnAZ15wcNIJc/edit?usp=sharing"",""อำนาจเจริญ!I88"")+IMPORTRANGE(""https://docs.google.com/spreadsheets/d/1gF7RJpRnL-1oyjyeWxs5SFWEH7y8ahOZsQlyp2A2e-A/edit?usp=sharing"",""อุดรธานี"&amp;"!I88"")+IMPORTRANGE(""https://docs.google.com/spreadsheets/d/1kfLP0j3INXRa8bTDpcEmoWewMBV61jlFlfzczfjWIgc/edit?usp=sharing"",""อุบลราชธานี!I88"")"),6)</f>
        <v>6</v>
      </c>
      <c r="J88" s="181">
        <f ca="1">IFERROR(__xludf.DUMMYFUNCTION("IMPORTRANGE(""https://docs.google.com/spreadsheets/d/1yhBcrRPreicbMKl9Bu_Snb2-OcQAF62RKfhTLhJ2eAA/edit?usp=sharing"",""กาฬสินธุ์!J88"")+IMPORTRANGE(""https://docs.google.com/spreadsheets/d/1aHkj4IaQMThhwWwevcOymEh837vdxeC_PycurhTbGFA/edit?usp=sharing"","""&amp;"ขอนแก่น!J88"")+IMPORTRANGE(""https://docs.google.com/spreadsheets/d/1FvTu2DsIWUjP6WCWra38Bkj_oOl_sOMf14r5Fg5srxU/edit?usp=sharing"",""ชัยภูมิ!J88"")+IMPORTRANGE(""https://docs.google.com/spreadsheets/d/1XVB7oCJ3pr-vBUdflwPQ8Z2LlzhnCvZaaYjAfP-647E/edit?usp"&amp;"=sharing"",""นครพนม!J88"")+IMPORTRANGE(""https://docs.google.com/spreadsheets/d/1Mnpb-8PYAgn85W6KOTD40hc_Xc55CaLfHoGAbrZ8tls/edit?usp=sharing"",""นครราชสีมา!J88"")+IMPORTRANGE(""https://docs.google.com/spreadsheets/d/1xoDLGBv9CYbyosIhki0kTq6IpYNj-gpjxfobn"&amp;"aDiut0/edit?usp=sharing"",""บึงกาฬ!J88"")+IMPORTRANGE(""https://docs.google.com/spreadsheets/d/1MMPq-JyI6DSgQETxuSiXkesP-P7JHuemnE6QJIa-Nlw/edit?usp=sharing"",""บุรีรัมย์!J88"")+IMPORTRANGE(""https://docs.google.com/spreadsheets/d/1l6IZ8xUPgMrESzcTYwhA1k_"&amp;"tPjeQjJPTqlm8Gd9eU5g/edit?usp=sharing"",""มหาสารคาม!J88"")+IMPORTRANGE(""https://docs.google.com/spreadsheets/d/1uB74YLqNjWX6FObjekfB2NtSYigTQyR2rq9u4Ub2Sq4/edit?usp=sharing"",""มุกดาหาร!J88"")+IMPORTRANGE(""https://docs.google.com/spreadsheets/d/1NexK3ge"&amp;"CPxCTO1fzNF8dPec7yZyUx3OaWkFBC9HsQOo/edit?usp=sharing"",""ยโสธร!J88"")+IMPORTRANGE(""https://docs.google.com/spreadsheets/d/1v_cJrbBlyqmnHPReHk44g9NrMRdENNlSy_E_c5M9fIg/edit?usp=sharing"",""ร้อยเอ็ด!J88"")+IMPORTRANGE(""https://docs.google.com/spreadsheet"&amp;"s/d/1Ul4RCpCX66NxYADU1QpwAPjOmBzW64SsT11s1wzXw_c/edit?usp=sharing"",""เลย!J88"")+IMPORTRANGE(""https://docs.google.com/spreadsheets/d/1bRrNKwbHDVktQG10isr5vbWRtt5spIZPpkOSWgbT5ug/edit?usp=sharing"",""ศรีสะเกษ!J88"")+IMPORTRANGE(""https://docs.google.com/s"&amp;"preadsheets/d/17P34_Ow5kFBfdQD0qspb2UuPX5zpi6WMrQzslghyvrI/edit?usp=sharing"",""สกลนคร!J88"")+IMPORTRANGE(""https://docs.google.com/spreadsheets/d/1yswqbM3-AEpThF3ZSUa1AcmHnmRTF1vlJ1CZGcJ8YuU/edit?usp=sharing"",""สุรินทร์!J88"")+IMPORTRANGE(""https://docs"&amp;".google.com/spreadsheets/d/13JHU_EFbsQOUQ0JSQ3dWy1VTRosIWcDq6Nc99z2qzdc/edit?usp=sharing"",""หนองคาย!J88"")+IMPORTRANGE(""https://docs.google.com/spreadsheets/d/1Hx73zIEgVdDZZaYSTc46Dqv64atFhpr3GelxLbaIN8A/edit?usp=sharing"",""หนองบัวลำภู!J88"")+IMPORTRAN"&amp;"GE(""https://docs.google.com/spreadsheets/d/1lFxr3ctmjFN90yc-xV6jrQ9Ty8BKYVBWnAZ15wcNIJc/edit?usp=sharing"",""อำนาจเจริญ!J88"")+IMPORTRANGE(""https://docs.google.com/spreadsheets/d/1gF7RJpRnL-1oyjyeWxs5SFWEH7y8ahOZsQlyp2A2e-A/edit?usp=sharing"",""อุดรธานี"&amp;"!J88"")+IMPORTRANGE(""https://docs.google.com/spreadsheets/d/1kfLP0j3INXRa8bTDpcEmoWewMBV61jlFlfzczfjWIgc/edit?usp=sharing"",""อุบลราชธานี!J88"")"),1)</f>
        <v>1</v>
      </c>
      <c r="K88" s="182">
        <f t="shared" ca="1" si="41"/>
        <v>16.666666666666668</v>
      </c>
      <c r="L88" s="165"/>
      <c r="M88" s="165"/>
      <c r="N88" s="165"/>
      <c r="O88" s="165"/>
      <c r="P88" s="165"/>
    </row>
    <row r="89" spans="1:16" ht="18.75" x14ac:dyDescent="0.25">
      <c r="A89" s="167"/>
      <c r="B89" s="168"/>
      <c r="C89" s="168"/>
      <c r="D89" s="168"/>
      <c r="E89" s="174"/>
      <c r="F89" s="174"/>
      <c r="G89" s="172"/>
      <c r="H89" s="179" t="s">
        <v>33</v>
      </c>
      <c r="I89" s="180">
        <f ca="1">IFERROR(__xludf.DUMMYFUNCTION("IMPORTRANGE(""https://docs.google.com/spreadsheets/d/1yhBcrRPreicbMKl9Bu_Snb2-OcQAF62RKfhTLhJ2eAA/edit?usp=sharing"",""กาฬสินธุ์!I89"")+IMPORTRANGE(""https://docs.google.com/spreadsheets/d/1aHkj4IaQMThhwWwevcOymEh837vdxeC_PycurhTbGFA/edit?usp=sharing"","""&amp;"ขอนแก่น!I89"")+IMPORTRANGE(""https://docs.google.com/spreadsheets/d/1FvTu2DsIWUjP6WCWra38Bkj_oOl_sOMf14r5Fg5srxU/edit?usp=sharing"",""ชัยภูมิ!I89"")+IMPORTRANGE(""https://docs.google.com/spreadsheets/d/1XVB7oCJ3pr-vBUdflwPQ8Z2LlzhnCvZaaYjAfP-647E/edit?usp"&amp;"=sharing"",""นครพนม!I89"")+IMPORTRANGE(""https://docs.google.com/spreadsheets/d/1Mnpb-8PYAgn85W6KOTD40hc_Xc55CaLfHoGAbrZ8tls/edit?usp=sharing"",""นครราชสีมา!I89"")+IMPORTRANGE(""https://docs.google.com/spreadsheets/d/1xoDLGBv9CYbyosIhki0kTq6IpYNj-gpjxfobn"&amp;"aDiut0/edit?usp=sharing"",""บึงกาฬ!I89"")+IMPORTRANGE(""https://docs.google.com/spreadsheets/d/1MMPq-JyI6DSgQETxuSiXkesP-P7JHuemnE6QJIa-Nlw/edit?usp=sharing"",""บุรีรัมย์!I89"")+IMPORTRANGE(""https://docs.google.com/spreadsheets/d/1l6IZ8xUPgMrESzcTYwhA1k_"&amp;"tPjeQjJPTqlm8Gd9eU5g/edit?usp=sharing"",""มหาสารคาม!I89"")+IMPORTRANGE(""https://docs.google.com/spreadsheets/d/1uB74YLqNjWX6FObjekfB2NtSYigTQyR2rq9u4Ub2Sq4/edit?usp=sharing"",""มุกดาหาร!I89"")+IMPORTRANGE(""https://docs.google.com/spreadsheets/d/1NexK3ge"&amp;"CPxCTO1fzNF8dPec7yZyUx3OaWkFBC9HsQOo/edit?usp=sharing"",""ยโสธร!I89"")+IMPORTRANGE(""https://docs.google.com/spreadsheets/d/1v_cJrbBlyqmnHPReHk44g9NrMRdENNlSy_E_c5M9fIg/edit?usp=sharing"",""ร้อยเอ็ด!I89"")+IMPORTRANGE(""https://docs.google.com/spreadsheet"&amp;"s/d/1Ul4RCpCX66NxYADU1QpwAPjOmBzW64SsT11s1wzXw_c/edit?usp=sharing"",""เลย!I89"")+IMPORTRANGE(""https://docs.google.com/spreadsheets/d/1bRrNKwbHDVktQG10isr5vbWRtt5spIZPpkOSWgbT5ug/edit?usp=sharing"",""ศรีสะเกษ!I89"")+IMPORTRANGE(""https://docs.google.com/s"&amp;"preadsheets/d/17P34_Ow5kFBfdQD0qspb2UuPX5zpi6WMrQzslghyvrI/edit?usp=sharing"",""สกลนคร!I89"")+IMPORTRANGE(""https://docs.google.com/spreadsheets/d/1yswqbM3-AEpThF3ZSUa1AcmHnmRTF1vlJ1CZGcJ8YuU/edit?usp=sharing"",""สุรินทร์!I89"")+IMPORTRANGE(""https://docs"&amp;".google.com/spreadsheets/d/13JHU_EFbsQOUQ0JSQ3dWy1VTRosIWcDq6Nc99z2qzdc/edit?usp=sharing"",""หนองคาย!I89"")+IMPORTRANGE(""https://docs.google.com/spreadsheets/d/1Hx73zIEgVdDZZaYSTc46Dqv64atFhpr3GelxLbaIN8A/edit?usp=sharing"",""หนองบัวลำภู!I89"")+IMPORTRAN"&amp;"GE(""https://docs.google.com/spreadsheets/d/1lFxr3ctmjFN90yc-xV6jrQ9Ty8BKYVBWnAZ15wcNIJc/edit?usp=sharing"",""อำนาจเจริญ!I89"")+IMPORTRANGE(""https://docs.google.com/spreadsheets/d/1gF7RJpRnL-1oyjyeWxs5SFWEH7y8ahOZsQlyp2A2e-A/edit?usp=sharing"",""อุดรธานี"&amp;"!I89"")+IMPORTRANGE(""https://docs.google.com/spreadsheets/d/1kfLP0j3INXRa8bTDpcEmoWewMBV61jlFlfzczfjWIgc/edit?usp=sharing"",""อุบลราชธานี!I89"")"),306)</f>
        <v>306</v>
      </c>
      <c r="J89" s="181">
        <f ca="1">IFERROR(__xludf.DUMMYFUNCTION("IMPORTRANGE(""https://docs.google.com/spreadsheets/d/1yhBcrRPreicbMKl9Bu_Snb2-OcQAF62RKfhTLhJ2eAA/edit?usp=sharing"",""กาฬสินธุ์!J89"")+IMPORTRANGE(""https://docs.google.com/spreadsheets/d/1aHkj4IaQMThhwWwevcOymEh837vdxeC_PycurhTbGFA/edit?usp=sharing"","""&amp;"ขอนแก่น!J89"")+IMPORTRANGE(""https://docs.google.com/spreadsheets/d/1FvTu2DsIWUjP6WCWra38Bkj_oOl_sOMf14r5Fg5srxU/edit?usp=sharing"",""ชัยภูมิ!J89"")+IMPORTRANGE(""https://docs.google.com/spreadsheets/d/1XVB7oCJ3pr-vBUdflwPQ8Z2LlzhnCvZaaYjAfP-647E/edit?usp"&amp;"=sharing"",""นครพนม!J89"")+IMPORTRANGE(""https://docs.google.com/spreadsheets/d/1Mnpb-8PYAgn85W6KOTD40hc_Xc55CaLfHoGAbrZ8tls/edit?usp=sharing"",""นครราชสีมา!J89"")+IMPORTRANGE(""https://docs.google.com/spreadsheets/d/1xoDLGBv9CYbyosIhki0kTq6IpYNj-gpjxfobn"&amp;"aDiut0/edit?usp=sharing"",""บึงกาฬ!J89"")+IMPORTRANGE(""https://docs.google.com/spreadsheets/d/1MMPq-JyI6DSgQETxuSiXkesP-P7JHuemnE6QJIa-Nlw/edit?usp=sharing"",""บุรีรัมย์!J89"")+IMPORTRANGE(""https://docs.google.com/spreadsheets/d/1l6IZ8xUPgMrESzcTYwhA1k_"&amp;"tPjeQjJPTqlm8Gd9eU5g/edit?usp=sharing"",""มหาสารคาม!J89"")+IMPORTRANGE(""https://docs.google.com/spreadsheets/d/1uB74YLqNjWX6FObjekfB2NtSYigTQyR2rq9u4Ub2Sq4/edit?usp=sharing"",""มุกดาหาร!J89"")+IMPORTRANGE(""https://docs.google.com/spreadsheets/d/1NexK3ge"&amp;"CPxCTO1fzNF8dPec7yZyUx3OaWkFBC9HsQOo/edit?usp=sharing"",""ยโสธร!J89"")+IMPORTRANGE(""https://docs.google.com/spreadsheets/d/1v_cJrbBlyqmnHPReHk44g9NrMRdENNlSy_E_c5M9fIg/edit?usp=sharing"",""ร้อยเอ็ด!J89"")+IMPORTRANGE(""https://docs.google.com/spreadsheet"&amp;"s/d/1Ul4RCpCX66NxYADU1QpwAPjOmBzW64SsT11s1wzXw_c/edit?usp=sharing"",""เลย!J89"")+IMPORTRANGE(""https://docs.google.com/spreadsheets/d/1bRrNKwbHDVktQG10isr5vbWRtt5spIZPpkOSWgbT5ug/edit?usp=sharing"",""ศรีสะเกษ!J89"")+IMPORTRANGE(""https://docs.google.com/s"&amp;"preadsheets/d/17P34_Ow5kFBfdQD0qspb2UuPX5zpi6WMrQzslghyvrI/edit?usp=sharing"",""สกลนคร!J89"")+IMPORTRANGE(""https://docs.google.com/spreadsheets/d/1yswqbM3-AEpThF3ZSUa1AcmHnmRTF1vlJ1CZGcJ8YuU/edit?usp=sharing"",""สุรินทร์!J89"")+IMPORTRANGE(""https://docs"&amp;".google.com/spreadsheets/d/13JHU_EFbsQOUQ0JSQ3dWy1VTRosIWcDq6Nc99z2qzdc/edit?usp=sharing"",""หนองคาย!J89"")+IMPORTRANGE(""https://docs.google.com/spreadsheets/d/1Hx73zIEgVdDZZaYSTc46Dqv64atFhpr3GelxLbaIN8A/edit?usp=sharing"",""หนองบัวลำภู!J89"")+IMPORTRAN"&amp;"GE(""https://docs.google.com/spreadsheets/d/1lFxr3ctmjFN90yc-xV6jrQ9Ty8BKYVBWnAZ15wcNIJc/edit?usp=sharing"",""อำนาจเจริญ!J89"")+IMPORTRANGE(""https://docs.google.com/spreadsheets/d/1gF7RJpRnL-1oyjyeWxs5SFWEH7y8ahOZsQlyp2A2e-A/edit?usp=sharing"",""อุดรธานี"&amp;"!J89"")+IMPORTRANGE(""https://docs.google.com/spreadsheets/d/1kfLP0j3INXRa8bTDpcEmoWewMBV61jlFlfzczfjWIgc/edit?usp=sharing"",""อุบลราชธานี!J89"")"),34)</f>
        <v>34</v>
      </c>
      <c r="K89" s="182">
        <f t="shared" ca="1" si="41"/>
        <v>11.111111111111111</v>
      </c>
      <c r="L89" s="165"/>
      <c r="M89" s="165"/>
      <c r="N89" s="165"/>
      <c r="O89" s="165"/>
      <c r="P89" s="165"/>
    </row>
    <row r="90" spans="1:16" ht="18.75" x14ac:dyDescent="0.25">
      <c r="A90" s="167"/>
      <c r="B90" s="168"/>
      <c r="C90" s="168"/>
      <c r="D90" s="173" t="s">
        <v>41</v>
      </c>
      <c r="E90" s="174"/>
      <c r="F90" s="174"/>
      <c r="G90" s="172"/>
      <c r="H90" s="183" t="s">
        <v>32</v>
      </c>
      <c r="I90" s="180">
        <f ca="1">IFERROR(__xludf.DUMMYFUNCTION("IMPORTRANGE(""https://docs.google.com/spreadsheets/d/1yhBcrRPreicbMKl9Bu_Snb2-OcQAF62RKfhTLhJ2eAA/edit?usp=sharing"",""กาฬสินธุ์!I90"")+IMPORTRANGE(""https://docs.google.com/spreadsheets/d/1aHkj4IaQMThhwWwevcOymEh837vdxeC_PycurhTbGFA/edit?usp=sharing"","""&amp;"ขอนแก่น!I90"")+IMPORTRANGE(""https://docs.google.com/spreadsheets/d/1FvTu2DsIWUjP6WCWra38Bkj_oOl_sOMf14r5Fg5srxU/edit?usp=sharing"",""ชัยภูมิ!I90"")+IMPORTRANGE(""https://docs.google.com/spreadsheets/d/1XVB7oCJ3pr-vBUdflwPQ8Z2LlzhnCvZaaYjAfP-647E/edit?usp"&amp;"=sharing"",""นครพนม!I90"")+IMPORTRANGE(""https://docs.google.com/spreadsheets/d/1Mnpb-8PYAgn85W6KOTD40hc_Xc55CaLfHoGAbrZ8tls/edit?usp=sharing"",""นครราชสีมา!I90"")+IMPORTRANGE(""https://docs.google.com/spreadsheets/d/1xoDLGBv9CYbyosIhki0kTq6IpYNj-gpjxfobn"&amp;"aDiut0/edit?usp=sharing"",""บึงกาฬ!I90"")+IMPORTRANGE(""https://docs.google.com/spreadsheets/d/1MMPq-JyI6DSgQETxuSiXkesP-P7JHuemnE6QJIa-Nlw/edit?usp=sharing"",""บุรีรัมย์!I90"")+IMPORTRANGE(""https://docs.google.com/spreadsheets/d/1l6IZ8xUPgMrESzcTYwhA1k_"&amp;"tPjeQjJPTqlm8Gd9eU5g/edit?usp=sharing"",""มหาสารคาม!I90"")+IMPORTRANGE(""https://docs.google.com/spreadsheets/d/1uB74YLqNjWX6FObjekfB2NtSYigTQyR2rq9u4Ub2Sq4/edit?usp=sharing"",""มุกดาหาร!I90"")+IMPORTRANGE(""https://docs.google.com/spreadsheets/d/1NexK3ge"&amp;"CPxCTO1fzNF8dPec7yZyUx3OaWkFBC9HsQOo/edit?usp=sharing"",""ยโสธร!I90"")+IMPORTRANGE(""https://docs.google.com/spreadsheets/d/1v_cJrbBlyqmnHPReHk44g9NrMRdENNlSy_E_c5M9fIg/edit?usp=sharing"",""ร้อยเอ็ด!I90"")+IMPORTRANGE(""https://docs.google.com/spreadsheet"&amp;"s/d/1Ul4RCpCX66NxYADU1QpwAPjOmBzW64SsT11s1wzXw_c/edit?usp=sharing"",""เลย!I90"")+IMPORTRANGE(""https://docs.google.com/spreadsheets/d/1bRrNKwbHDVktQG10isr5vbWRtt5spIZPpkOSWgbT5ug/edit?usp=sharing"",""ศรีสะเกษ!I90"")+IMPORTRANGE(""https://docs.google.com/s"&amp;"preadsheets/d/17P34_Ow5kFBfdQD0qspb2UuPX5zpi6WMrQzslghyvrI/edit?usp=sharing"",""สกลนคร!I90"")+IMPORTRANGE(""https://docs.google.com/spreadsheets/d/1yswqbM3-AEpThF3ZSUa1AcmHnmRTF1vlJ1CZGcJ8YuU/edit?usp=sharing"",""สุรินทร์!I90"")+IMPORTRANGE(""https://docs"&amp;".google.com/spreadsheets/d/13JHU_EFbsQOUQ0JSQ3dWy1VTRosIWcDq6Nc99z2qzdc/edit?usp=sharing"",""หนองคาย!I90"")+IMPORTRANGE(""https://docs.google.com/spreadsheets/d/1Hx73zIEgVdDZZaYSTc46Dqv64atFhpr3GelxLbaIN8A/edit?usp=sharing"",""หนองบัวลำภู!I90"")+IMPORTRAN"&amp;"GE(""https://docs.google.com/spreadsheets/d/1lFxr3ctmjFN90yc-xV6jrQ9Ty8BKYVBWnAZ15wcNIJc/edit?usp=sharing"",""อำนาจเจริญ!I90"")+IMPORTRANGE(""https://docs.google.com/spreadsheets/d/1gF7RJpRnL-1oyjyeWxs5SFWEH7y8ahOZsQlyp2A2e-A/edit?usp=sharing"",""อุดรธานี"&amp;"!I90"")+IMPORTRANGE(""https://docs.google.com/spreadsheets/d/1kfLP0j3INXRa8bTDpcEmoWewMBV61jlFlfzczfjWIgc/edit?usp=sharing"",""อุบลราชธานี!I90"")"),6)</f>
        <v>6</v>
      </c>
      <c r="J90" s="181">
        <f ca="1">IFERROR(__xludf.DUMMYFUNCTION("IMPORTRANGE(""https://docs.google.com/spreadsheets/d/1yhBcrRPreicbMKl9Bu_Snb2-OcQAF62RKfhTLhJ2eAA/edit?usp=sharing"",""กาฬสินธุ์!J90"")+IMPORTRANGE(""https://docs.google.com/spreadsheets/d/1aHkj4IaQMThhwWwevcOymEh837vdxeC_PycurhTbGFA/edit?usp=sharing"","""&amp;"ขอนแก่น!J90"")+IMPORTRANGE(""https://docs.google.com/spreadsheets/d/1FvTu2DsIWUjP6WCWra38Bkj_oOl_sOMf14r5Fg5srxU/edit?usp=sharing"",""ชัยภูมิ!J90"")+IMPORTRANGE(""https://docs.google.com/spreadsheets/d/1XVB7oCJ3pr-vBUdflwPQ8Z2LlzhnCvZaaYjAfP-647E/edit?usp"&amp;"=sharing"",""นครพนม!J90"")+IMPORTRANGE(""https://docs.google.com/spreadsheets/d/1Mnpb-8PYAgn85W6KOTD40hc_Xc55CaLfHoGAbrZ8tls/edit?usp=sharing"",""นครราชสีมา!J90"")+IMPORTRANGE(""https://docs.google.com/spreadsheets/d/1xoDLGBv9CYbyosIhki0kTq6IpYNj-gpjxfobn"&amp;"aDiut0/edit?usp=sharing"",""บึงกาฬ!J90"")+IMPORTRANGE(""https://docs.google.com/spreadsheets/d/1MMPq-JyI6DSgQETxuSiXkesP-P7JHuemnE6QJIa-Nlw/edit?usp=sharing"",""บุรีรัมย์!J90"")+IMPORTRANGE(""https://docs.google.com/spreadsheets/d/1l6IZ8xUPgMrESzcTYwhA1k_"&amp;"tPjeQjJPTqlm8Gd9eU5g/edit?usp=sharing"",""มหาสารคาม!J90"")+IMPORTRANGE(""https://docs.google.com/spreadsheets/d/1uB74YLqNjWX6FObjekfB2NtSYigTQyR2rq9u4Ub2Sq4/edit?usp=sharing"",""มุกดาหาร!J90"")+IMPORTRANGE(""https://docs.google.com/spreadsheets/d/1NexK3ge"&amp;"CPxCTO1fzNF8dPec7yZyUx3OaWkFBC9HsQOo/edit?usp=sharing"",""ยโสธร!J90"")+IMPORTRANGE(""https://docs.google.com/spreadsheets/d/1v_cJrbBlyqmnHPReHk44g9NrMRdENNlSy_E_c5M9fIg/edit?usp=sharing"",""ร้อยเอ็ด!J90"")+IMPORTRANGE(""https://docs.google.com/spreadsheet"&amp;"s/d/1Ul4RCpCX66NxYADU1QpwAPjOmBzW64SsT11s1wzXw_c/edit?usp=sharing"",""เลย!J90"")+IMPORTRANGE(""https://docs.google.com/spreadsheets/d/1bRrNKwbHDVktQG10isr5vbWRtt5spIZPpkOSWgbT5ug/edit?usp=sharing"",""ศรีสะเกษ!J90"")+IMPORTRANGE(""https://docs.google.com/s"&amp;"preadsheets/d/17P34_Ow5kFBfdQD0qspb2UuPX5zpi6WMrQzslghyvrI/edit?usp=sharing"",""สกลนคร!J90"")+IMPORTRANGE(""https://docs.google.com/spreadsheets/d/1yswqbM3-AEpThF3ZSUa1AcmHnmRTF1vlJ1CZGcJ8YuU/edit?usp=sharing"",""สุรินทร์!J90"")+IMPORTRANGE(""https://docs"&amp;".google.com/spreadsheets/d/13JHU_EFbsQOUQ0JSQ3dWy1VTRosIWcDq6Nc99z2qzdc/edit?usp=sharing"",""หนองคาย!J90"")+IMPORTRANGE(""https://docs.google.com/spreadsheets/d/1Hx73zIEgVdDZZaYSTc46Dqv64atFhpr3GelxLbaIN8A/edit?usp=sharing"",""หนองบัวลำภู!J90"")+IMPORTRAN"&amp;"GE(""https://docs.google.com/spreadsheets/d/1lFxr3ctmjFN90yc-xV6jrQ9Ty8BKYVBWnAZ15wcNIJc/edit?usp=sharing"",""อำนาจเจริญ!J90"")+IMPORTRANGE(""https://docs.google.com/spreadsheets/d/1gF7RJpRnL-1oyjyeWxs5SFWEH7y8ahOZsQlyp2A2e-A/edit?usp=sharing"",""อุดรธานี"&amp;"!J90"")+IMPORTRANGE(""https://docs.google.com/spreadsheets/d/1kfLP0j3INXRa8bTDpcEmoWewMBV61jlFlfzczfjWIgc/edit?usp=sharing"",""อุบลราชธานี!J90"")"),0)</f>
        <v>0</v>
      </c>
      <c r="K90" s="182">
        <f t="shared" ca="1" si="41"/>
        <v>0</v>
      </c>
      <c r="L90" s="165"/>
      <c r="M90" s="165"/>
      <c r="N90" s="165"/>
      <c r="O90" s="165"/>
      <c r="P90" s="165"/>
    </row>
    <row r="91" spans="1:16" ht="19.5" x14ac:dyDescent="0.3">
      <c r="A91" s="146" t="s">
        <v>42</v>
      </c>
      <c r="B91" s="147"/>
      <c r="C91" s="148"/>
      <c r="D91" s="147"/>
      <c r="E91" s="147"/>
      <c r="F91" s="147"/>
      <c r="G91" s="149"/>
      <c r="H91" s="149"/>
      <c r="I91" s="150"/>
      <c r="J91" s="150"/>
      <c r="K91" s="151"/>
      <c r="L91" s="151"/>
      <c r="M91" s="151"/>
      <c r="N91" s="151"/>
      <c r="O91" s="151"/>
      <c r="P91" s="151"/>
    </row>
    <row r="92" spans="1:16" ht="19.5" x14ac:dyDescent="0.3">
      <c r="A92" s="152"/>
      <c r="B92" s="153" t="s">
        <v>43</v>
      </c>
      <c r="C92" s="41"/>
      <c r="D92" s="154"/>
      <c r="E92" s="41"/>
      <c r="F92" s="41"/>
      <c r="G92" s="44"/>
      <c r="H92" s="155" t="s">
        <v>44</v>
      </c>
      <c r="I92" s="156">
        <f t="shared" ref="I92:J92" ca="1" si="43">I108</f>
        <v>249</v>
      </c>
      <c r="J92" s="156">
        <f t="shared" ca="1" si="43"/>
        <v>0</v>
      </c>
      <c r="K92" s="48">
        <f t="shared" ref="K92:K93" ca="1" si="44">IF(I92&gt;0,J92*100/I92,0)</f>
        <v>0</v>
      </c>
      <c r="L92" s="47"/>
      <c r="M92" s="47"/>
      <c r="N92" s="47"/>
      <c r="O92" s="47"/>
      <c r="P92" s="47"/>
    </row>
    <row r="93" spans="1:16" ht="19.5" x14ac:dyDescent="0.3">
      <c r="A93" s="152"/>
      <c r="B93" s="41"/>
      <c r="C93" s="41"/>
      <c r="D93" s="154"/>
      <c r="E93" s="41"/>
      <c r="F93" s="41"/>
      <c r="G93" s="44"/>
      <c r="H93" s="155" t="s">
        <v>33</v>
      </c>
      <c r="I93" s="156">
        <f t="shared" ref="I93:J93" ca="1" si="45">I109</f>
        <v>83</v>
      </c>
      <c r="J93" s="156">
        <f t="shared" ca="1" si="45"/>
        <v>0</v>
      </c>
      <c r="K93" s="48">
        <f t="shared" ca="1" si="44"/>
        <v>0</v>
      </c>
      <c r="L93" s="47"/>
      <c r="M93" s="47"/>
      <c r="N93" s="47"/>
      <c r="O93" s="47"/>
      <c r="P93" s="47"/>
    </row>
    <row r="94" spans="1:16" ht="19.5" x14ac:dyDescent="0.3">
      <c r="A94" s="157"/>
      <c r="B94" s="53"/>
      <c r="C94" s="158" t="s">
        <v>16</v>
      </c>
      <c r="D94" s="159" t="s">
        <v>17</v>
      </c>
      <c r="E94" s="53"/>
      <c r="F94" s="53"/>
      <c r="G94" s="55"/>
      <c r="H94" s="160" t="s">
        <v>12</v>
      </c>
      <c r="I94" s="57"/>
      <c r="J94" s="57"/>
      <c r="K94" s="58"/>
      <c r="L94" s="161">
        <f t="shared" ref="L94:N94" ca="1" si="46">L95+L96</f>
        <v>697000</v>
      </c>
      <c r="M94" s="161">
        <f t="shared" ca="1" si="46"/>
        <v>603600</v>
      </c>
      <c r="N94" s="161">
        <f t="shared" ca="1" si="46"/>
        <v>75509.5</v>
      </c>
      <c r="O94" s="161">
        <f t="shared" ref="O94:O102" ca="1" si="47">IF(L94&gt;0,N94*100/L94,0)</f>
        <v>10.833500717360115</v>
      </c>
      <c r="P94" s="161">
        <f t="shared" ref="P94:P102" ca="1" si="48">IF(M94&gt;0,N94*100/M94,0)</f>
        <v>12.509857521537443</v>
      </c>
    </row>
    <row r="95" spans="1:16" ht="18.75" x14ac:dyDescent="0.25">
      <c r="A95" s="157"/>
      <c r="B95" s="53"/>
      <c r="C95" s="53"/>
      <c r="D95" s="53"/>
      <c r="E95" s="60" t="s">
        <v>18</v>
      </c>
      <c r="F95" s="53"/>
      <c r="G95" s="55"/>
      <c r="H95" s="162" t="s">
        <v>12</v>
      </c>
      <c r="I95" s="57"/>
      <c r="J95" s="57"/>
      <c r="K95" s="58"/>
      <c r="L95" s="59">
        <f t="shared" ref="L95:N95" ca="1" si="49">L98+L101</f>
        <v>0</v>
      </c>
      <c r="M95" s="59">
        <f t="shared" ca="1" si="49"/>
        <v>0</v>
      </c>
      <c r="N95" s="59">
        <f t="shared" ca="1" si="49"/>
        <v>0</v>
      </c>
      <c r="O95" s="59">
        <f t="shared" ca="1" si="47"/>
        <v>0</v>
      </c>
      <c r="P95" s="59">
        <f t="shared" ca="1" si="48"/>
        <v>0</v>
      </c>
    </row>
    <row r="96" spans="1:16" ht="18.75" x14ac:dyDescent="0.25">
      <c r="A96" s="157"/>
      <c r="B96" s="53"/>
      <c r="C96" s="53"/>
      <c r="D96" s="53"/>
      <c r="E96" s="60" t="s">
        <v>19</v>
      </c>
      <c r="F96" s="53"/>
      <c r="G96" s="55"/>
      <c r="H96" s="162" t="s">
        <v>12</v>
      </c>
      <c r="I96" s="57"/>
      <c r="J96" s="57"/>
      <c r="K96" s="58"/>
      <c r="L96" s="59">
        <f t="shared" ref="L96:N96" ca="1" si="50">L99+L102</f>
        <v>697000</v>
      </c>
      <c r="M96" s="59">
        <f t="shared" ca="1" si="50"/>
        <v>603600</v>
      </c>
      <c r="N96" s="59">
        <f t="shared" ca="1" si="50"/>
        <v>75509.5</v>
      </c>
      <c r="O96" s="59">
        <f t="shared" ca="1" si="47"/>
        <v>10.833500717360115</v>
      </c>
      <c r="P96" s="59">
        <f t="shared" ca="1" si="48"/>
        <v>12.509857521537443</v>
      </c>
    </row>
    <row r="97" spans="1:16" ht="18.75" x14ac:dyDescent="0.25">
      <c r="A97" s="157"/>
      <c r="B97" s="53"/>
      <c r="C97" s="53"/>
      <c r="D97" s="54" t="s">
        <v>20</v>
      </c>
      <c r="E97" s="53"/>
      <c r="F97" s="53"/>
      <c r="G97" s="55"/>
      <c r="H97" s="163" t="s">
        <v>12</v>
      </c>
      <c r="I97" s="164"/>
      <c r="J97" s="164"/>
      <c r="K97" s="165"/>
      <c r="L97" s="59">
        <f t="shared" ref="L97:N97" ca="1" si="51">L98+L99</f>
        <v>697000</v>
      </c>
      <c r="M97" s="59">
        <f t="shared" ca="1" si="51"/>
        <v>603600</v>
      </c>
      <c r="N97" s="59">
        <f t="shared" ca="1" si="51"/>
        <v>75509.5</v>
      </c>
      <c r="O97" s="59">
        <f t="shared" ca="1" si="47"/>
        <v>10.833500717360115</v>
      </c>
      <c r="P97" s="59">
        <f t="shared" ca="1" si="48"/>
        <v>12.509857521537443</v>
      </c>
    </row>
    <row r="98" spans="1:16" ht="18.75" x14ac:dyDescent="0.25">
      <c r="A98" s="157"/>
      <c r="B98" s="53"/>
      <c r="C98" s="53"/>
      <c r="D98" s="53"/>
      <c r="E98" s="60" t="s">
        <v>34</v>
      </c>
      <c r="F98" s="53"/>
      <c r="G98" s="55"/>
      <c r="H98" s="163" t="s">
        <v>12</v>
      </c>
      <c r="I98" s="164"/>
      <c r="J98" s="164"/>
      <c r="K98" s="165"/>
      <c r="L98" s="59">
        <f ca="1">IFERROR(__xludf.DUMMYFUNCTION("IMPORTRANGE(""https://docs.google.com/spreadsheets/d/1yhBcrRPreicbMKl9Bu_Snb2-OcQAF62RKfhTLhJ2eAA/edit?usp=sharing"",""กาฬสินธุ์!L98"")+IMPORTRANGE(""https://docs.google.com/spreadsheets/d/1aHkj4IaQMThhwWwevcOymEh837vdxeC_PycurhTbGFA/edit?usp=sharing"","""&amp;"ขอนแก่น!L98"")+IMPORTRANGE(""https://docs.google.com/spreadsheets/d/1FvTu2DsIWUjP6WCWra38Bkj_oOl_sOMf14r5Fg5srxU/edit?usp=sharing"",""ชัยภูมิ!L98"")+IMPORTRANGE(""https://docs.google.com/spreadsheets/d/1XVB7oCJ3pr-vBUdflwPQ8Z2LlzhnCvZaaYjAfP-647E/edit?usp"&amp;"=sharing"",""นครพนม!L98"")+IMPORTRANGE(""https://docs.google.com/spreadsheets/d/1Mnpb-8PYAgn85W6KOTD40hc_Xc55CaLfHoGAbrZ8tls/edit?usp=sharing"",""นครราชสีมา!L98"")+IMPORTRANGE(""https://docs.google.com/spreadsheets/d/1xoDLGBv9CYbyosIhki0kTq6IpYNj-gpjxfobn"&amp;"aDiut0/edit?usp=sharing"",""บึงกาฬ!L98"")+IMPORTRANGE(""https://docs.google.com/spreadsheets/d/1MMPq-JyI6DSgQETxuSiXkesP-P7JHuemnE6QJIa-Nlw/edit?usp=sharing"",""บุรีรัมย์!L98"")+IMPORTRANGE(""https://docs.google.com/spreadsheets/d/1l6IZ8xUPgMrESzcTYwhA1k_"&amp;"tPjeQjJPTqlm8Gd9eU5g/edit?usp=sharing"",""มหาสารคาม!L98"")+IMPORTRANGE(""https://docs.google.com/spreadsheets/d/1uB74YLqNjWX6FObjekfB2NtSYigTQyR2rq9u4Ub2Sq4/edit?usp=sharing"",""มุกดาหาร!L98"")+IMPORTRANGE(""https://docs.google.com/spreadsheets/d/1NexK3ge"&amp;"CPxCTO1fzNF8dPec7yZyUx3OaWkFBC9HsQOo/edit?usp=sharing"",""ยโสธร!L98"")+IMPORTRANGE(""https://docs.google.com/spreadsheets/d/1v_cJrbBlyqmnHPReHk44g9NrMRdENNlSy_E_c5M9fIg/edit?usp=sharing"",""ร้อยเอ็ด!L98"")+IMPORTRANGE(""https://docs.google.com/spreadsheet"&amp;"s/d/1Ul4RCpCX66NxYADU1QpwAPjOmBzW64SsT11s1wzXw_c/edit?usp=sharing"",""เลย!L98"")+IMPORTRANGE(""https://docs.google.com/spreadsheets/d/1bRrNKwbHDVktQG10isr5vbWRtt5spIZPpkOSWgbT5ug/edit?usp=sharing"",""ศรีสะเกษ!L98"")+IMPORTRANGE(""https://docs.google.com/s"&amp;"preadsheets/d/17P34_Ow5kFBfdQD0qspb2UuPX5zpi6WMrQzslghyvrI/edit?usp=sharing"",""สกลนคร!L98"")+IMPORTRANGE(""https://docs.google.com/spreadsheets/d/1yswqbM3-AEpThF3ZSUa1AcmHnmRTF1vlJ1CZGcJ8YuU/edit?usp=sharing"",""สุรินทร์!L98"")+IMPORTRANGE(""https://docs"&amp;".google.com/spreadsheets/d/13JHU_EFbsQOUQ0JSQ3dWy1VTRosIWcDq6Nc99z2qzdc/edit?usp=sharing"",""หนองคาย!L98"")+IMPORTRANGE(""https://docs.google.com/spreadsheets/d/1Hx73zIEgVdDZZaYSTc46Dqv64atFhpr3GelxLbaIN8A/edit?usp=sharing"",""หนองบัวลำภู!L98"")+IMPORTRAN"&amp;"GE(""https://docs.google.com/spreadsheets/d/1lFxr3ctmjFN90yc-xV6jrQ9Ty8BKYVBWnAZ15wcNIJc/edit?usp=sharing"",""อำนาจเจริญ!L98"")+IMPORTRANGE(""https://docs.google.com/spreadsheets/d/1gF7RJpRnL-1oyjyeWxs5SFWEH7y8ahOZsQlyp2A2e-A/edit?usp=sharing"",""อุดรธานี"&amp;"!L98"")+IMPORTRANGE(""https://docs.google.com/spreadsheets/d/1kfLP0j3INXRa8bTDpcEmoWewMBV61jlFlfzczfjWIgc/edit?usp=sharing"",""อุบลราชธานี!L98"")"),0)</f>
        <v>0</v>
      </c>
      <c r="M98" s="59">
        <f ca="1">IFERROR(__xludf.DUMMYFUNCTION("IMPORTRANGE(""https://docs.google.com/spreadsheets/d/1yhBcrRPreicbMKl9Bu_Snb2-OcQAF62RKfhTLhJ2eAA/edit?usp=sharing"",""กาฬสินธุ์!M98"")+IMPORTRANGE(""https://docs.google.com/spreadsheets/d/1aHkj4IaQMThhwWwevcOymEh837vdxeC_PycurhTbGFA/edit?usp=sharing"","""&amp;"ขอนแก่น!M98"")+IMPORTRANGE(""https://docs.google.com/spreadsheets/d/1FvTu2DsIWUjP6WCWra38Bkj_oOl_sOMf14r5Fg5srxU/edit?usp=sharing"",""ชัยภูมิ!M98"")+IMPORTRANGE(""https://docs.google.com/spreadsheets/d/1XVB7oCJ3pr-vBUdflwPQ8Z2LlzhnCvZaaYjAfP-647E/edit?usp"&amp;"=sharing"",""นครพนม!M98"")+IMPORTRANGE(""https://docs.google.com/spreadsheets/d/1Mnpb-8PYAgn85W6KOTD40hc_Xc55CaLfHoGAbrZ8tls/edit?usp=sharing"",""นครราชสีมา!M98"")+IMPORTRANGE(""https://docs.google.com/spreadsheets/d/1xoDLGBv9CYbyosIhki0kTq6IpYNj-gpjxfobn"&amp;"aDiut0/edit?usp=sharing"",""บึงกาฬ!M98"")+IMPORTRANGE(""https://docs.google.com/spreadsheets/d/1MMPq-JyI6DSgQETxuSiXkesP-P7JHuemnE6QJIa-Nlw/edit?usp=sharing"",""บุรีรัมย์!M98"")+IMPORTRANGE(""https://docs.google.com/spreadsheets/d/1l6IZ8xUPgMrESzcTYwhA1k_"&amp;"tPjeQjJPTqlm8Gd9eU5g/edit?usp=sharing"",""มหาสารคาม!M98"")+IMPORTRANGE(""https://docs.google.com/spreadsheets/d/1uB74YLqNjWX6FObjekfB2NtSYigTQyR2rq9u4Ub2Sq4/edit?usp=sharing"",""มุกดาหาร!M98"")+IMPORTRANGE(""https://docs.google.com/spreadsheets/d/1NexK3ge"&amp;"CPxCTO1fzNF8dPec7yZyUx3OaWkFBC9HsQOo/edit?usp=sharing"",""ยโสธร!M98"")+IMPORTRANGE(""https://docs.google.com/spreadsheets/d/1v_cJrbBlyqmnHPReHk44g9NrMRdENNlSy_E_c5M9fIg/edit?usp=sharing"",""ร้อยเอ็ด!M98"")+IMPORTRANGE(""https://docs.google.com/spreadsheet"&amp;"s/d/1Ul4RCpCX66NxYADU1QpwAPjOmBzW64SsT11s1wzXw_c/edit?usp=sharing"",""เลย!M98"")+IMPORTRANGE(""https://docs.google.com/spreadsheets/d/1bRrNKwbHDVktQG10isr5vbWRtt5spIZPpkOSWgbT5ug/edit?usp=sharing"",""ศรีสะเกษ!M98"")+IMPORTRANGE(""https://docs.google.com/s"&amp;"preadsheets/d/17P34_Ow5kFBfdQD0qspb2UuPX5zpi6WMrQzslghyvrI/edit?usp=sharing"",""สกลนคร!M98"")+IMPORTRANGE(""https://docs.google.com/spreadsheets/d/1yswqbM3-AEpThF3ZSUa1AcmHnmRTF1vlJ1CZGcJ8YuU/edit?usp=sharing"",""สุรินทร์!M98"")+IMPORTRANGE(""https://docs"&amp;".google.com/spreadsheets/d/13JHU_EFbsQOUQ0JSQ3dWy1VTRosIWcDq6Nc99z2qzdc/edit?usp=sharing"",""หนองคาย!M98"")+IMPORTRANGE(""https://docs.google.com/spreadsheets/d/1Hx73zIEgVdDZZaYSTc46Dqv64atFhpr3GelxLbaIN8A/edit?usp=sharing"",""หนองบัวลำภู!M98"")+IMPORTRAN"&amp;"GE(""https://docs.google.com/spreadsheets/d/1lFxr3ctmjFN90yc-xV6jrQ9Ty8BKYVBWnAZ15wcNIJc/edit?usp=sharing"",""อำนาจเจริญ!M98"")+IMPORTRANGE(""https://docs.google.com/spreadsheets/d/1gF7RJpRnL-1oyjyeWxs5SFWEH7y8ahOZsQlyp2A2e-A/edit?usp=sharing"",""อุดรธานี"&amp;"!M98"")+IMPORTRANGE(""https://docs.google.com/spreadsheets/d/1kfLP0j3INXRa8bTDpcEmoWewMBV61jlFlfzczfjWIgc/edit?usp=sharing"",""อุบลราชธานี!M98"")"),0)</f>
        <v>0</v>
      </c>
      <c r="N98" s="59">
        <f ca="1">IFERROR(__xludf.DUMMYFUNCTION("IMPORTRANGE(""https://docs.google.com/spreadsheets/d/1yhBcrRPreicbMKl9Bu_Snb2-OcQAF62RKfhTLhJ2eAA/edit?usp=sharing"",""กาฬสินธุ์!N98"")+IMPORTRANGE(""https://docs.google.com/spreadsheets/d/1aHkj4IaQMThhwWwevcOymEh837vdxeC_PycurhTbGFA/edit?usp=sharing"","""&amp;"ขอนแก่น!N98"")+IMPORTRANGE(""https://docs.google.com/spreadsheets/d/1FvTu2DsIWUjP6WCWra38Bkj_oOl_sOMf14r5Fg5srxU/edit?usp=sharing"",""ชัยภูมิ!N98"")+IMPORTRANGE(""https://docs.google.com/spreadsheets/d/1XVB7oCJ3pr-vBUdflwPQ8Z2LlzhnCvZaaYjAfP-647E/edit?usp"&amp;"=sharing"",""นครพนม!N98"")+IMPORTRANGE(""https://docs.google.com/spreadsheets/d/1Mnpb-8PYAgn85W6KOTD40hc_Xc55CaLfHoGAbrZ8tls/edit?usp=sharing"",""นครราชสีมา!N98"")+IMPORTRANGE(""https://docs.google.com/spreadsheets/d/1xoDLGBv9CYbyosIhki0kTq6IpYNj-gpjxfobn"&amp;"aDiut0/edit?usp=sharing"",""บึงกาฬ!N98"")+IMPORTRANGE(""https://docs.google.com/spreadsheets/d/1MMPq-JyI6DSgQETxuSiXkesP-P7JHuemnE6QJIa-Nlw/edit?usp=sharing"",""บุรีรัมย์!N98"")+IMPORTRANGE(""https://docs.google.com/spreadsheets/d/1l6IZ8xUPgMrESzcTYwhA1k_"&amp;"tPjeQjJPTqlm8Gd9eU5g/edit?usp=sharing"",""มหาสารคาม!N98"")+IMPORTRANGE(""https://docs.google.com/spreadsheets/d/1uB74YLqNjWX6FObjekfB2NtSYigTQyR2rq9u4Ub2Sq4/edit?usp=sharing"",""มุกดาหาร!N98"")+IMPORTRANGE(""https://docs.google.com/spreadsheets/d/1NexK3ge"&amp;"CPxCTO1fzNF8dPec7yZyUx3OaWkFBC9HsQOo/edit?usp=sharing"",""ยโสธร!N98"")+IMPORTRANGE(""https://docs.google.com/spreadsheets/d/1v_cJrbBlyqmnHPReHk44g9NrMRdENNlSy_E_c5M9fIg/edit?usp=sharing"",""ร้อยเอ็ด!N98"")+IMPORTRANGE(""https://docs.google.com/spreadsheet"&amp;"s/d/1Ul4RCpCX66NxYADU1QpwAPjOmBzW64SsT11s1wzXw_c/edit?usp=sharing"",""เลย!N98"")+IMPORTRANGE(""https://docs.google.com/spreadsheets/d/1bRrNKwbHDVktQG10isr5vbWRtt5spIZPpkOSWgbT5ug/edit?usp=sharing"",""ศรีสะเกษ!N98"")+IMPORTRANGE(""https://docs.google.com/s"&amp;"preadsheets/d/17P34_Ow5kFBfdQD0qspb2UuPX5zpi6WMrQzslghyvrI/edit?usp=sharing"",""สกลนคร!N98"")+IMPORTRANGE(""https://docs.google.com/spreadsheets/d/1yswqbM3-AEpThF3ZSUa1AcmHnmRTF1vlJ1CZGcJ8YuU/edit?usp=sharing"",""สุรินทร์!N98"")+IMPORTRANGE(""https://docs"&amp;".google.com/spreadsheets/d/13JHU_EFbsQOUQ0JSQ3dWy1VTRosIWcDq6Nc99z2qzdc/edit?usp=sharing"",""หนองคาย!N98"")+IMPORTRANGE(""https://docs.google.com/spreadsheets/d/1Hx73zIEgVdDZZaYSTc46Dqv64atFhpr3GelxLbaIN8A/edit?usp=sharing"",""หนองบัวลำภู!N98"")+IMPORTRAN"&amp;"GE(""https://docs.google.com/spreadsheets/d/1lFxr3ctmjFN90yc-xV6jrQ9Ty8BKYVBWnAZ15wcNIJc/edit?usp=sharing"",""อำนาจเจริญ!N98"")+IMPORTRANGE(""https://docs.google.com/spreadsheets/d/1gF7RJpRnL-1oyjyeWxs5SFWEH7y8ahOZsQlyp2A2e-A/edit?usp=sharing"",""อุดรธานี"&amp;"!N98"")+IMPORTRANGE(""https://docs.google.com/spreadsheets/d/1kfLP0j3INXRa8bTDpcEmoWewMBV61jlFlfzczfjWIgc/edit?usp=sharing"",""อุบลราชธานี!N98"")"),0)</f>
        <v>0</v>
      </c>
      <c r="O98" s="59">
        <f t="shared" ca="1" si="47"/>
        <v>0</v>
      </c>
      <c r="P98" s="59">
        <f t="shared" ca="1" si="48"/>
        <v>0</v>
      </c>
    </row>
    <row r="99" spans="1:16" ht="18.75" x14ac:dyDescent="0.25">
      <c r="A99" s="157"/>
      <c r="B99" s="53"/>
      <c r="C99" s="53"/>
      <c r="D99" s="53"/>
      <c r="E99" s="60" t="s">
        <v>35</v>
      </c>
      <c r="F99" s="53"/>
      <c r="G99" s="55"/>
      <c r="H99" s="163" t="s">
        <v>12</v>
      </c>
      <c r="I99" s="164"/>
      <c r="J99" s="164"/>
      <c r="K99" s="165"/>
      <c r="L99" s="59">
        <f ca="1">IFERROR(__xludf.DUMMYFUNCTION("IMPORTRANGE(""https://docs.google.com/spreadsheets/d/1yhBcrRPreicbMKl9Bu_Snb2-OcQAF62RKfhTLhJ2eAA/edit?usp=sharing"",""กาฬสินธุ์!L99"")+IMPORTRANGE(""https://docs.google.com/spreadsheets/d/1aHkj4IaQMThhwWwevcOymEh837vdxeC_PycurhTbGFA/edit?usp=sharing"","""&amp;"ขอนแก่น!L99"")+IMPORTRANGE(""https://docs.google.com/spreadsheets/d/1FvTu2DsIWUjP6WCWra38Bkj_oOl_sOMf14r5Fg5srxU/edit?usp=sharing"",""ชัยภูมิ!L99"")+IMPORTRANGE(""https://docs.google.com/spreadsheets/d/1XVB7oCJ3pr-vBUdflwPQ8Z2LlzhnCvZaaYjAfP-647E/edit?usp"&amp;"=sharing"",""นครพนม!L99"")+IMPORTRANGE(""https://docs.google.com/spreadsheets/d/1Mnpb-8PYAgn85W6KOTD40hc_Xc55CaLfHoGAbrZ8tls/edit?usp=sharing"",""นครราชสีมา!L99"")+IMPORTRANGE(""https://docs.google.com/spreadsheets/d/1xoDLGBv9CYbyosIhki0kTq6IpYNj-gpjxfobn"&amp;"aDiut0/edit?usp=sharing"",""บึงกาฬ!L99"")+IMPORTRANGE(""https://docs.google.com/spreadsheets/d/1MMPq-JyI6DSgQETxuSiXkesP-P7JHuemnE6QJIa-Nlw/edit?usp=sharing"",""บุรีรัมย์!L99"")+IMPORTRANGE(""https://docs.google.com/spreadsheets/d/1l6IZ8xUPgMrESzcTYwhA1k_"&amp;"tPjeQjJPTqlm8Gd9eU5g/edit?usp=sharing"",""มหาสารคาม!L99"")+IMPORTRANGE(""https://docs.google.com/spreadsheets/d/1uB74YLqNjWX6FObjekfB2NtSYigTQyR2rq9u4Ub2Sq4/edit?usp=sharing"",""มุกดาหาร!L99"")+IMPORTRANGE(""https://docs.google.com/spreadsheets/d/1NexK3ge"&amp;"CPxCTO1fzNF8dPec7yZyUx3OaWkFBC9HsQOo/edit?usp=sharing"",""ยโสธร!L99"")+IMPORTRANGE(""https://docs.google.com/spreadsheets/d/1v_cJrbBlyqmnHPReHk44g9NrMRdENNlSy_E_c5M9fIg/edit?usp=sharing"",""ร้อยเอ็ด!L99"")+IMPORTRANGE(""https://docs.google.com/spreadsheet"&amp;"s/d/1Ul4RCpCX66NxYADU1QpwAPjOmBzW64SsT11s1wzXw_c/edit?usp=sharing"",""เลย!L99"")+IMPORTRANGE(""https://docs.google.com/spreadsheets/d/1bRrNKwbHDVktQG10isr5vbWRtt5spIZPpkOSWgbT5ug/edit?usp=sharing"",""ศรีสะเกษ!L99"")+IMPORTRANGE(""https://docs.google.com/s"&amp;"preadsheets/d/17P34_Ow5kFBfdQD0qspb2UuPX5zpi6WMrQzslghyvrI/edit?usp=sharing"",""สกลนคร!L99"")+IMPORTRANGE(""https://docs.google.com/spreadsheets/d/1yswqbM3-AEpThF3ZSUa1AcmHnmRTF1vlJ1CZGcJ8YuU/edit?usp=sharing"",""สุรินทร์!L99"")+IMPORTRANGE(""https://docs"&amp;".google.com/spreadsheets/d/13JHU_EFbsQOUQ0JSQ3dWy1VTRosIWcDq6Nc99z2qzdc/edit?usp=sharing"",""หนองคาย!L99"")+IMPORTRANGE(""https://docs.google.com/spreadsheets/d/1Hx73zIEgVdDZZaYSTc46Dqv64atFhpr3GelxLbaIN8A/edit?usp=sharing"",""หนองบัวลำภู!L99"")+IMPORTRAN"&amp;"GE(""https://docs.google.com/spreadsheets/d/1lFxr3ctmjFN90yc-xV6jrQ9Ty8BKYVBWnAZ15wcNIJc/edit?usp=sharing"",""อำนาจเจริญ!L99"")+IMPORTRANGE(""https://docs.google.com/spreadsheets/d/1gF7RJpRnL-1oyjyeWxs5SFWEH7y8ahOZsQlyp2A2e-A/edit?usp=sharing"",""อุดรธานี"&amp;"!L99"")+IMPORTRANGE(""https://docs.google.com/spreadsheets/d/1kfLP0j3INXRa8bTDpcEmoWewMBV61jlFlfzczfjWIgc/edit?usp=sharing"",""อุบลราชธานี!L99"")"),697000)</f>
        <v>697000</v>
      </c>
      <c r="M99" s="59">
        <f ca="1">IFERROR(__xludf.DUMMYFUNCTION("IMPORTRANGE(""https://docs.google.com/spreadsheets/d/1yhBcrRPreicbMKl9Bu_Snb2-OcQAF62RKfhTLhJ2eAA/edit?usp=sharing"",""กาฬสินธุ์!M99"")+IMPORTRANGE(""https://docs.google.com/spreadsheets/d/1aHkj4IaQMThhwWwevcOymEh837vdxeC_PycurhTbGFA/edit?usp=sharing"","""&amp;"ขอนแก่น!M99"")+IMPORTRANGE(""https://docs.google.com/spreadsheets/d/1FvTu2DsIWUjP6WCWra38Bkj_oOl_sOMf14r5Fg5srxU/edit?usp=sharing"",""ชัยภูมิ!M99"")+IMPORTRANGE(""https://docs.google.com/spreadsheets/d/1XVB7oCJ3pr-vBUdflwPQ8Z2LlzhnCvZaaYjAfP-647E/edit?usp"&amp;"=sharing"",""นครพนม!M99"")+IMPORTRANGE(""https://docs.google.com/spreadsheets/d/1Mnpb-8PYAgn85W6KOTD40hc_Xc55CaLfHoGAbrZ8tls/edit?usp=sharing"",""นครราชสีมา!M99"")+IMPORTRANGE(""https://docs.google.com/spreadsheets/d/1xoDLGBv9CYbyosIhki0kTq6IpYNj-gpjxfobn"&amp;"aDiut0/edit?usp=sharing"",""บึงกาฬ!M99"")+IMPORTRANGE(""https://docs.google.com/spreadsheets/d/1MMPq-JyI6DSgQETxuSiXkesP-P7JHuemnE6QJIa-Nlw/edit?usp=sharing"",""บุรีรัมย์!M99"")+IMPORTRANGE(""https://docs.google.com/spreadsheets/d/1l6IZ8xUPgMrESzcTYwhA1k_"&amp;"tPjeQjJPTqlm8Gd9eU5g/edit?usp=sharing"",""มหาสารคาม!M99"")+IMPORTRANGE(""https://docs.google.com/spreadsheets/d/1uB74YLqNjWX6FObjekfB2NtSYigTQyR2rq9u4Ub2Sq4/edit?usp=sharing"",""มุกดาหาร!M99"")+IMPORTRANGE(""https://docs.google.com/spreadsheets/d/1NexK3ge"&amp;"CPxCTO1fzNF8dPec7yZyUx3OaWkFBC9HsQOo/edit?usp=sharing"",""ยโสธร!M99"")+IMPORTRANGE(""https://docs.google.com/spreadsheets/d/1v_cJrbBlyqmnHPReHk44g9NrMRdENNlSy_E_c5M9fIg/edit?usp=sharing"",""ร้อยเอ็ด!M99"")+IMPORTRANGE(""https://docs.google.com/spreadsheet"&amp;"s/d/1Ul4RCpCX66NxYADU1QpwAPjOmBzW64SsT11s1wzXw_c/edit?usp=sharing"",""เลย!M99"")+IMPORTRANGE(""https://docs.google.com/spreadsheets/d/1bRrNKwbHDVktQG10isr5vbWRtt5spIZPpkOSWgbT5ug/edit?usp=sharing"",""ศรีสะเกษ!M99"")+IMPORTRANGE(""https://docs.google.com/s"&amp;"preadsheets/d/17P34_Ow5kFBfdQD0qspb2UuPX5zpi6WMrQzslghyvrI/edit?usp=sharing"",""สกลนคร!M99"")+IMPORTRANGE(""https://docs.google.com/spreadsheets/d/1yswqbM3-AEpThF3ZSUa1AcmHnmRTF1vlJ1CZGcJ8YuU/edit?usp=sharing"",""สุรินทร์!M99"")+IMPORTRANGE(""https://docs"&amp;".google.com/spreadsheets/d/13JHU_EFbsQOUQ0JSQ3dWy1VTRosIWcDq6Nc99z2qzdc/edit?usp=sharing"",""หนองคาย!M99"")+IMPORTRANGE(""https://docs.google.com/spreadsheets/d/1Hx73zIEgVdDZZaYSTc46Dqv64atFhpr3GelxLbaIN8A/edit?usp=sharing"",""หนองบัวลำภู!M99"")+IMPORTRAN"&amp;"GE(""https://docs.google.com/spreadsheets/d/1lFxr3ctmjFN90yc-xV6jrQ9Ty8BKYVBWnAZ15wcNIJc/edit?usp=sharing"",""อำนาจเจริญ!M99"")+IMPORTRANGE(""https://docs.google.com/spreadsheets/d/1gF7RJpRnL-1oyjyeWxs5SFWEH7y8ahOZsQlyp2A2e-A/edit?usp=sharing"",""อุดรธานี"&amp;"!M99"")+IMPORTRANGE(""https://docs.google.com/spreadsheets/d/1kfLP0j3INXRa8bTDpcEmoWewMBV61jlFlfzczfjWIgc/edit?usp=sharing"",""อุบลราชธานี!M99"")"),603600)</f>
        <v>603600</v>
      </c>
      <c r="N99" s="59">
        <f ca="1">IFERROR(__xludf.DUMMYFUNCTION("IMPORTRANGE(""https://docs.google.com/spreadsheets/d/1yhBcrRPreicbMKl9Bu_Snb2-OcQAF62RKfhTLhJ2eAA/edit?usp=sharing"",""กาฬสินธุ์!N99"")+IMPORTRANGE(""https://docs.google.com/spreadsheets/d/1aHkj4IaQMThhwWwevcOymEh837vdxeC_PycurhTbGFA/edit?usp=sharing"","""&amp;"ขอนแก่น!N99"")+IMPORTRANGE(""https://docs.google.com/spreadsheets/d/1FvTu2DsIWUjP6WCWra38Bkj_oOl_sOMf14r5Fg5srxU/edit?usp=sharing"",""ชัยภูมิ!N99"")+IMPORTRANGE(""https://docs.google.com/spreadsheets/d/1XVB7oCJ3pr-vBUdflwPQ8Z2LlzhnCvZaaYjAfP-647E/edit?usp"&amp;"=sharing"",""นครพนม!N99"")+IMPORTRANGE(""https://docs.google.com/spreadsheets/d/1Mnpb-8PYAgn85W6KOTD40hc_Xc55CaLfHoGAbrZ8tls/edit?usp=sharing"",""นครราชสีมา!N99"")+IMPORTRANGE(""https://docs.google.com/spreadsheets/d/1xoDLGBv9CYbyosIhki0kTq6IpYNj-gpjxfobn"&amp;"aDiut0/edit?usp=sharing"",""บึงกาฬ!N99"")+IMPORTRANGE(""https://docs.google.com/spreadsheets/d/1MMPq-JyI6DSgQETxuSiXkesP-P7JHuemnE6QJIa-Nlw/edit?usp=sharing"",""บุรีรัมย์!N99"")+IMPORTRANGE(""https://docs.google.com/spreadsheets/d/1l6IZ8xUPgMrESzcTYwhA1k_"&amp;"tPjeQjJPTqlm8Gd9eU5g/edit?usp=sharing"",""มหาสารคาม!N99"")+IMPORTRANGE(""https://docs.google.com/spreadsheets/d/1uB74YLqNjWX6FObjekfB2NtSYigTQyR2rq9u4Ub2Sq4/edit?usp=sharing"",""มุกดาหาร!N99"")+IMPORTRANGE(""https://docs.google.com/spreadsheets/d/1NexK3ge"&amp;"CPxCTO1fzNF8dPec7yZyUx3OaWkFBC9HsQOo/edit?usp=sharing"",""ยโสธร!N99"")+IMPORTRANGE(""https://docs.google.com/spreadsheets/d/1v_cJrbBlyqmnHPReHk44g9NrMRdENNlSy_E_c5M9fIg/edit?usp=sharing"",""ร้อยเอ็ด!N99"")+IMPORTRANGE(""https://docs.google.com/spreadsheet"&amp;"s/d/1Ul4RCpCX66NxYADU1QpwAPjOmBzW64SsT11s1wzXw_c/edit?usp=sharing"",""เลย!N99"")+IMPORTRANGE(""https://docs.google.com/spreadsheets/d/1bRrNKwbHDVktQG10isr5vbWRtt5spIZPpkOSWgbT5ug/edit?usp=sharing"",""ศรีสะเกษ!N99"")+IMPORTRANGE(""https://docs.google.com/s"&amp;"preadsheets/d/17P34_Ow5kFBfdQD0qspb2UuPX5zpi6WMrQzslghyvrI/edit?usp=sharing"",""สกลนคร!N99"")+IMPORTRANGE(""https://docs.google.com/spreadsheets/d/1yswqbM3-AEpThF3ZSUa1AcmHnmRTF1vlJ1CZGcJ8YuU/edit?usp=sharing"",""สุรินทร์!N99"")+IMPORTRANGE(""https://docs"&amp;".google.com/spreadsheets/d/13JHU_EFbsQOUQ0JSQ3dWy1VTRosIWcDq6Nc99z2qzdc/edit?usp=sharing"",""หนองคาย!N99"")+IMPORTRANGE(""https://docs.google.com/spreadsheets/d/1Hx73zIEgVdDZZaYSTc46Dqv64atFhpr3GelxLbaIN8A/edit?usp=sharing"",""หนองบัวลำภู!N99"")+IMPORTRAN"&amp;"GE(""https://docs.google.com/spreadsheets/d/1lFxr3ctmjFN90yc-xV6jrQ9Ty8BKYVBWnAZ15wcNIJc/edit?usp=sharing"",""อำนาจเจริญ!N99"")+IMPORTRANGE(""https://docs.google.com/spreadsheets/d/1gF7RJpRnL-1oyjyeWxs5SFWEH7y8ahOZsQlyp2A2e-A/edit?usp=sharing"",""อุดรธานี"&amp;"!N99"")+IMPORTRANGE(""https://docs.google.com/spreadsheets/d/1kfLP0j3INXRa8bTDpcEmoWewMBV61jlFlfzczfjWIgc/edit?usp=sharing"",""อุบลราชธานี!N99"")"),75509.5)</f>
        <v>75509.5</v>
      </c>
      <c r="O99" s="59">
        <f t="shared" ca="1" si="47"/>
        <v>10.833500717360115</v>
      </c>
      <c r="P99" s="59">
        <f t="shared" ca="1" si="48"/>
        <v>12.509857521537443</v>
      </c>
    </row>
    <row r="100" spans="1:16" ht="18.75" x14ac:dyDescent="0.25">
      <c r="A100" s="157"/>
      <c r="B100" s="53"/>
      <c r="C100" s="53"/>
      <c r="D100" s="54" t="s">
        <v>21</v>
      </c>
      <c r="E100" s="53"/>
      <c r="F100" s="53"/>
      <c r="G100" s="55"/>
      <c r="H100" s="166" t="s">
        <v>12</v>
      </c>
      <c r="I100" s="164"/>
      <c r="J100" s="164"/>
      <c r="K100" s="165"/>
      <c r="L100" s="59">
        <f t="shared" ref="L100:N100" ca="1" si="52">L101+L102</f>
        <v>0</v>
      </c>
      <c r="M100" s="59">
        <f t="shared" ca="1" si="52"/>
        <v>0</v>
      </c>
      <c r="N100" s="59">
        <f t="shared" ca="1" si="52"/>
        <v>0</v>
      </c>
      <c r="O100" s="59">
        <f t="shared" ca="1" si="47"/>
        <v>0</v>
      </c>
      <c r="P100" s="59">
        <f t="shared" ca="1" si="48"/>
        <v>0</v>
      </c>
    </row>
    <row r="101" spans="1:16" ht="18.75" x14ac:dyDescent="0.25">
      <c r="A101" s="157"/>
      <c r="B101" s="53"/>
      <c r="C101" s="53"/>
      <c r="D101" s="53"/>
      <c r="E101" s="60" t="s">
        <v>18</v>
      </c>
      <c r="F101" s="53"/>
      <c r="G101" s="55"/>
      <c r="H101" s="163" t="s">
        <v>12</v>
      </c>
      <c r="I101" s="164"/>
      <c r="J101" s="164"/>
      <c r="K101" s="165"/>
      <c r="L101" s="59">
        <f ca="1">IFERROR(__xludf.DUMMYFUNCTION("IMPORTRANGE(""https://docs.google.com/spreadsheets/d/1yhBcrRPreicbMKl9Bu_Snb2-OcQAF62RKfhTLhJ2eAA/edit?usp=sharing"",""กาฬสินธุ์!L101"")+IMPORTRANGE(""https://docs.google.com/spreadsheets/d/1aHkj4IaQMThhwWwevcOymEh837vdxeC_PycurhTbGFA/edit?usp=sharing"","&amp;"""ขอนแก่น!L101"")+IMPORTRANGE(""https://docs.google.com/spreadsheets/d/1FvTu2DsIWUjP6WCWra38Bkj_oOl_sOMf14r5Fg5srxU/edit?usp=sharing"",""ชัยภูมิ!L101"")+IMPORTRANGE(""https://docs.google.com/spreadsheets/d/1XVB7oCJ3pr-vBUdflwPQ8Z2LlzhnCvZaaYjAfP-647E/edit"&amp;"?usp=sharing"",""นครพนม!L101"")+IMPORTRANGE(""https://docs.google.com/spreadsheets/d/1Mnpb-8PYAgn85W6KOTD40hc_Xc55CaLfHoGAbrZ8tls/edit?usp=sharing"",""นครราชสีมา!L101"")+IMPORTRANGE(""https://docs.google.com/spreadsheets/d/1xoDLGBv9CYbyosIhki0kTq6IpYNj-gp"&amp;"jxfobnaDiut0/edit?usp=sharing"",""บึงกาฬ!L101"")+IMPORTRANGE(""https://docs.google.com/spreadsheets/d/1MMPq-JyI6DSgQETxuSiXkesP-P7JHuemnE6QJIa-Nlw/edit?usp=sharing"",""บุรีรัมย์!L101"")+IMPORTRANGE(""https://docs.google.com/spreadsheets/d/1l6IZ8xUPgMrESzc"&amp;"TYwhA1k_tPjeQjJPTqlm8Gd9eU5g/edit?usp=sharing"",""มหาสารคาม!L101"")+IMPORTRANGE(""https://docs.google.com/spreadsheets/d/1uB74YLqNjWX6FObjekfB2NtSYigTQyR2rq9u4Ub2Sq4/edit?usp=sharing"",""มุกดาหาร!L101"")+IMPORTRANGE(""https://docs.google.com/spreadsheets/"&amp;"d/1NexK3geCPxCTO1fzNF8dPec7yZyUx3OaWkFBC9HsQOo/edit?usp=sharing"",""ยโสธร!L101"")+IMPORTRANGE(""https://docs.google.com/spreadsheets/d/1v_cJrbBlyqmnHPReHk44g9NrMRdENNlSy_E_c5M9fIg/edit?usp=sharing"",""ร้อยเอ็ด!L101"")+IMPORTRANGE(""https://docs.google.com"&amp;"/spreadsheets/d/1Ul4RCpCX66NxYADU1QpwAPjOmBzW64SsT11s1wzXw_c/edit?usp=sharing"",""เลย!L101"")+IMPORTRANGE(""https://docs.google.com/spreadsheets/d/1bRrNKwbHDVktQG10isr5vbWRtt5spIZPpkOSWgbT5ug/edit?usp=sharing"",""ศรีสะเกษ!L101"")+IMPORTRANGE(""https://doc"&amp;"s.google.com/spreadsheets/d/17P34_Ow5kFBfdQD0qspb2UuPX5zpi6WMrQzslghyvrI/edit?usp=sharing"",""สกลนคร!L101"")+IMPORTRANGE(""https://docs.google.com/spreadsheets/d/1yswqbM3-AEpThF3ZSUa1AcmHnmRTF1vlJ1CZGcJ8YuU/edit?usp=sharing"",""สุรินทร์!L101"")+IMPORTRANG"&amp;"E(""https://docs.google.com/spreadsheets/d/13JHU_EFbsQOUQ0JSQ3dWy1VTRosIWcDq6Nc99z2qzdc/edit?usp=sharing"",""หนองคาย!L101"")+IMPORTRANGE(""https://docs.google.com/spreadsheets/d/1Hx73zIEgVdDZZaYSTc46Dqv64atFhpr3GelxLbaIN8A/edit?usp=sharing"",""หนองบัวลำภู"&amp;"!L101"")+IMPORTRANGE(""https://docs.google.com/spreadsheets/d/1lFxr3ctmjFN90yc-xV6jrQ9Ty8BKYVBWnAZ15wcNIJc/edit?usp=sharing"",""อำนาจเจริญ!L101"")+IMPORTRANGE(""https://docs.google.com/spreadsheets/d/1gF7RJpRnL-1oyjyeWxs5SFWEH7y8ahOZsQlyp2A2e-A/edit?usp=s"&amp;"haring"",""อุดรธานี!L101"")+IMPORTRANGE(""https://docs.google.com/spreadsheets/d/1kfLP0j3INXRa8bTDpcEmoWewMBV61jlFlfzczfjWIgc/edit?usp=sharing"",""อุบลราชธานี!L101"")"),0)</f>
        <v>0</v>
      </c>
      <c r="M101" s="59">
        <f ca="1">IFERROR(__xludf.DUMMYFUNCTION("IMPORTRANGE(""https://docs.google.com/spreadsheets/d/1yhBcrRPreicbMKl9Bu_Snb2-OcQAF62RKfhTLhJ2eAA/edit?usp=sharing"",""กาฬสินธุ์!M101"")+IMPORTRANGE(""https://docs.google.com/spreadsheets/d/1aHkj4IaQMThhwWwevcOymEh837vdxeC_PycurhTbGFA/edit?usp=sharing"","&amp;"""ขอนแก่น!M101"")+IMPORTRANGE(""https://docs.google.com/spreadsheets/d/1FvTu2DsIWUjP6WCWra38Bkj_oOl_sOMf14r5Fg5srxU/edit?usp=sharing"",""ชัยภูมิ!M101"")+IMPORTRANGE(""https://docs.google.com/spreadsheets/d/1XVB7oCJ3pr-vBUdflwPQ8Z2LlzhnCvZaaYjAfP-647E/edit"&amp;"?usp=sharing"",""นครพนม!M101"")+IMPORTRANGE(""https://docs.google.com/spreadsheets/d/1Mnpb-8PYAgn85W6KOTD40hc_Xc55CaLfHoGAbrZ8tls/edit?usp=sharing"",""นครราชสีมา!M101"")+IMPORTRANGE(""https://docs.google.com/spreadsheets/d/1xoDLGBv9CYbyosIhki0kTq6IpYNj-gp"&amp;"jxfobnaDiut0/edit?usp=sharing"",""บึงกาฬ!M101"")+IMPORTRANGE(""https://docs.google.com/spreadsheets/d/1MMPq-JyI6DSgQETxuSiXkesP-P7JHuemnE6QJIa-Nlw/edit?usp=sharing"",""บุรีรัมย์!M101"")+IMPORTRANGE(""https://docs.google.com/spreadsheets/d/1l6IZ8xUPgMrESzc"&amp;"TYwhA1k_tPjeQjJPTqlm8Gd9eU5g/edit?usp=sharing"",""มหาสารคาม!M101"")+IMPORTRANGE(""https://docs.google.com/spreadsheets/d/1uB74YLqNjWX6FObjekfB2NtSYigTQyR2rq9u4Ub2Sq4/edit?usp=sharing"",""มุกดาหาร!M101"")+IMPORTRANGE(""https://docs.google.com/spreadsheets/"&amp;"d/1NexK3geCPxCTO1fzNF8dPec7yZyUx3OaWkFBC9HsQOo/edit?usp=sharing"",""ยโสธร!M101"")+IMPORTRANGE(""https://docs.google.com/spreadsheets/d/1v_cJrbBlyqmnHPReHk44g9NrMRdENNlSy_E_c5M9fIg/edit?usp=sharing"",""ร้อยเอ็ด!M101"")+IMPORTRANGE(""https://docs.google.com"&amp;"/spreadsheets/d/1Ul4RCpCX66NxYADU1QpwAPjOmBzW64SsT11s1wzXw_c/edit?usp=sharing"",""เลย!M101"")+IMPORTRANGE(""https://docs.google.com/spreadsheets/d/1bRrNKwbHDVktQG10isr5vbWRtt5spIZPpkOSWgbT5ug/edit?usp=sharing"",""ศรีสะเกษ!M101"")+IMPORTRANGE(""https://doc"&amp;"s.google.com/spreadsheets/d/17P34_Ow5kFBfdQD0qspb2UuPX5zpi6WMrQzslghyvrI/edit?usp=sharing"",""สกลนคร!M101"")+IMPORTRANGE(""https://docs.google.com/spreadsheets/d/1yswqbM3-AEpThF3ZSUa1AcmHnmRTF1vlJ1CZGcJ8YuU/edit?usp=sharing"",""สุรินทร์!M101"")+IMPORTRANG"&amp;"E(""https://docs.google.com/spreadsheets/d/13JHU_EFbsQOUQ0JSQ3dWy1VTRosIWcDq6Nc99z2qzdc/edit?usp=sharing"",""หนองคาย!M101"")+IMPORTRANGE(""https://docs.google.com/spreadsheets/d/1Hx73zIEgVdDZZaYSTc46Dqv64atFhpr3GelxLbaIN8A/edit?usp=sharing"",""หนองบัวลำภู"&amp;"!M101"")+IMPORTRANGE(""https://docs.google.com/spreadsheets/d/1lFxr3ctmjFN90yc-xV6jrQ9Ty8BKYVBWnAZ15wcNIJc/edit?usp=sharing"",""อำนาจเจริญ!M101"")+IMPORTRANGE(""https://docs.google.com/spreadsheets/d/1gF7RJpRnL-1oyjyeWxs5SFWEH7y8ahOZsQlyp2A2e-A/edit?usp=s"&amp;"haring"",""อุดรธานี!M101"")+IMPORTRANGE(""https://docs.google.com/spreadsheets/d/1kfLP0j3INXRa8bTDpcEmoWewMBV61jlFlfzczfjWIgc/edit?usp=sharing"",""อุบลราชธานี!M101"")"),0)</f>
        <v>0</v>
      </c>
      <c r="N101" s="59">
        <f ca="1">IFERROR(__xludf.DUMMYFUNCTION("IMPORTRANGE(""https://docs.google.com/spreadsheets/d/1yhBcrRPreicbMKl9Bu_Snb2-OcQAF62RKfhTLhJ2eAA/edit?usp=sharing"",""กาฬสินธุ์!N101"")+IMPORTRANGE(""https://docs.google.com/spreadsheets/d/1aHkj4IaQMThhwWwevcOymEh837vdxeC_PycurhTbGFA/edit?usp=sharing"","&amp;"""ขอนแก่น!N101"")+IMPORTRANGE(""https://docs.google.com/spreadsheets/d/1FvTu2DsIWUjP6WCWra38Bkj_oOl_sOMf14r5Fg5srxU/edit?usp=sharing"",""ชัยภูมิ!N101"")+IMPORTRANGE(""https://docs.google.com/spreadsheets/d/1XVB7oCJ3pr-vBUdflwPQ8Z2LlzhnCvZaaYjAfP-647E/edit"&amp;"?usp=sharing"",""นครพนม!N101"")+IMPORTRANGE(""https://docs.google.com/spreadsheets/d/1Mnpb-8PYAgn85W6KOTD40hc_Xc55CaLfHoGAbrZ8tls/edit?usp=sharing"",""นครราชสีมา!N101"")+IMPORTRANGE(""https://docs.google.com/spreadsheets/d/1xoDLGBv9CYbyosIhki0kTq6IpYNj-gp"&amp;"jxfobnaDiut0/edit?usp=sharing"",""บึงกาฬ!N101"")+IMPORTRANGE(""https://docs.google.com/spreadsheets/d/1MMPq-JyI6DSgQETxuSiXkesP-P7JHuemnE6QJIa-Nlw/edit?usp=sharing"",""บุรีรัมย์!N101"")+IMPORTRANGE(""https://docs.google.com/spreadsheets/d/1l6IZ8xUPgMrESzc"&amp;"TYwhA1k_tPjeQjJPTqlm8Gd9eU5g/edit?usp=sharing"",""มหาสารคาม!N101"")+IMPORTRANGE(""https://docs.google.com/spreadsheets/d/1uB74YLqNjWX6FObjekfB2NtSYigTQyR2rq9u4Ub2Sq4/edit?usp=sharing"",""มุกดาหาร!N101"")+IMPORTRANGE(""https://docs.google.com/spreadsheets/"&amp;"d/1NexK3geCPxCTO1fzNF8dPec7yZyUx3OaWkFBC9HsQOo/edit?usp=sharing"",""ยโสธร!N101"")+IMPORTRANGE(""https://docs.google.com/spreadsheets/d/1v_cJrbBlyqmnHPReHk44g9NrMRdENNlSy_E_c5M9fIg/edit?usp=sharing"",""ร้อยเอ็ด!N101"")+IMPORTRANGE(""https://docs.google.com"&amp;"/spreadsheets/d/1Ul4RCpCX66NxYADU1QpwAPjOmBzW64SsT11s1wzXw_c/edit?usp=sharing"",""เลย!N101"")+IMPORTRANGE(""https://docs.google.com/spreadsheets/d/1bRrNKwbHDVktQG10isr5vbWRtt5spIZPpkOSWgbT5ug/edit?usp=sharing"",""ศรีสะเกษ!N101"")+IMPORTRANGE(""https://doc"&amp;"s.google.com/spreadsheets/d/17P34_Ow5kFBfdQD0qspb2UuPX5zpi6WMrQzslghyvrI/edit?usp=sharing"",""สกลนคร!N101"")+IMPORTRANGE(""https://docs.google.com/spreadsheets/d/1yswqbM3-AEpThF3ZSUa1AcmHnmRTF1vlJ1CZGcJ8YuU/edit?usp=sharing"",""สุรินทร์!N101"")+IMPORTRANG"&amp;"E(""https://docs.google.com/spreadsheets/d/13JHU_EFbsQOUQ0JSQ3dWy1VTRosIWcDq6Nc99z2qzdc/edit?usp=sharing"",""หนองคาย!N101"")+IMPORTRANGE(""https://docs.google.com/spreadsheets/d/1Hx73zIEgVdDZZaYSTc46Dqv64atFhpr3GelxLbaIN8A/edit?usp=sharing"",""หนองบัวลำภู"&amp;"!N101"")+IMPORTRANGE(""https://docs.google.com/spreadsheets/d/1lFxr3ctmjFN90yc-xV6jrQ9Ty8BKYVBWnAZ15wcNIJc/edit?usp=sharing"",""อำนาจเจริญ!N101"")+IMPORTRANGE(""https://docs.google.com/spreadsheets/d/1gF7RJpRnL-1oyjyeWxs5SFWEH7y8ahOZsQlyp2A2e-A/edit?usp=s"&amp;"haring"",""อุดรธานี!N101"")+IMPORTRANGE(""https://docs.google.com/spreadsheets/d/1kfLP0j3INXRa8bTDpcEmoWewMBV61jlFlfzczfjWIgc/edit?usp=sharing"",""อุบลราชธานี!N101"")"),0)</f>
        <v>0</v>
      </c>
      <c r="O101" s="59">
        <f t="shared" ca="1" si="47"/>
        <v>0</v>
      </c>
      <c r="P101" s="59">
        <f t="shared" ca="1" si="48"/>
        <v>0</v>
      </c>
    </row>
    <row r="102" spans="1:16" ht="18.75" x14ac:dyDescent="0.25">
      <c r="A102" s="157"/>
      <c r="B102" s="53"/>
      <c r="C102" s="53"/>
      <c r="D102" s="53"/>
      <c r="E102" s="60" t="s">
        <v>19</v>
      </c>
      <c r="F102" s="53"/>
      <c r="G102" s="55"/>
      <c r="H102" s="166" t="s">
        <v>12</v>
      </c>
      <c r="I102" s="164"/>
      <c r="J102" s="164"/>
      <c r="K102" s="165"/>
      <c r="L102" s="59">
        <f ca="1">IFERROR(__xludf.DUMMYFUNCTION("IMPORTRANGE(""https://docs.google.com/spreadsheets/d/1yhBcrRPreicbMKl9Bu_Snb2-OcQAF62RKfhTLhJ2eAA/edit?usp=sharing"",""กาฬสินธุ์!L102"")+IMPORTRANGE(""https://docs.google.com/spreadsheets/d/1aHkj4IaQMThhwWwevcOymEh837vdxeC_PycurhTbGFA/edit?usp=sharing"","&amp;"""ขอนแก่น!L102"")+IMPORTRANGE(""https://docs.google.com/spreadsheets/d/1FvTu2DsIWUjP6WCWra38Bkj_oOl_sOMf14r5Fg5srxU/edit?usp=sharing"",""ชัยภูมิ!L102"")+IMPORTRANGE(""https://docs.google.com/spreadsheets/d/1XVB7oCJ3pr-vBUdflwPQ8Z2LlzhnCvZaaYjAfP-647E/edit"&amp;"?usp=sharing"",""นครพนม!L102"")+IMPORTRANGE(""https://docs.google.com/spreadsheets/d/1Mnpb-8PYAgn85W6KOTD40hc_Xc55CaLfHoGAbrZ8tls/edit?usp=sharing"",""นครราชสีมา!L102"")+IMPORTRANGE(""https://docs.google.com/spreadsheets/d/1xoDLGBv9CYbyosIhki0kTq6IpYNj-gp"&amp;"jxfobnaDiut0/edit?usp=sharing"",""บึงกาฬ!L102"")+IMPORTRANGE(""https://docs.google.com/spreadsheets/d/1MMPq-JyI6DSgQETxuSiXkesP-P7JHuemnE6QJIa-Nlw/edit?usp=sharing"",""บุรีรัมย์!L102"")+IMPORTRANGE(""https://docs.google.com/spreadsheets/d/1l6IZ8xUPgMrESzc"&amp;"TYwhA1k_tPjeQjJPTqlm8Gd9eU5g/edit?usp=sharing"",""มหาสารคาม!L102"")+IMPORTRANGE(""https://docs.google.com/spreadsheets/d/1uB74YLqNjWX6FObjekfB2NtSYigTQyR2rq9u4Ub2Sq4/edit?usp=sharing"",""มุกดาหาร!L102"")+IMPORTRANGE(""https://docs.google.com/spreadsheets/"&amp;"d/1NexK3geCPxCTO1fzNF8dPec7yZyUx3OaWkFBC9HsQOo/edit?usp=sharing"",""ยโสธร!L102"")+IMPORTRANGE(""https://docs.google.com/spreadsheets/d/1v_cJrbBlyqmnHPReHk44g9NrMRdENNlSy_E_c5M9fIg/edit?usp=sharing"",""ร้อยเอ็ด!L102"")+IMPORTRANGE(""https://docs.google.com"&amp;"/spreadsheets/d/1Ul4RCpCX66NxYADU1QpwAPjOmBzW64SsT11s1wzXw_c/edit?usp=sharing"",""เลย!L102"")+IMPORTRANGE(""https://docs.google.com/spreadsheets/d/1bRrNKwbHDVktQG10isr5vbWRtt5spIZPpkOSWgbT5ug/edit?usp=sharing"",""ศรีสะเกษ!L102"")+IMPORTRANGE(""https://doc"&amp;"s.google.com/spreadsheets/d/17P34_Ow5kFBfdQD0qspb2UuPX5zpi6WMrQzslghyvrI/edit?usp=sharing"",""สกลนคร!L102"")+IMPORTRANGE(""https://docs.google.com/spreadsheets/d/1yswqbM3-AEpThF3ZSUa1AcmHnmRTF1vlJ1CZGcJ8YuU/edit?usp=sharing"",""สุรินทร์!L102"")+IMPORTRANG"&amp;"E(""https://docs.google.com/spreadsheets/d/13JHU_EFbsQOUQ0JSQ3dWy1VTRosIWcDq6Nc99z2qzdc/edit?usp=sharing"",""หนองคาย!L102"")+IMPORTRANGE(""https://docs.google.com/spreadsheets/d/1Hx73zIEgVdDZZaYSTc46Dqv64atFhpr3GelxLbaIN8A/edit?usp=sharing"",""หนองบัวลำภู"&amp;"!L102"")+IMPORTRANGE(""https://docs.google.com/spreadsheets/d/1lFxr3ctmjFN90yc-xV6jrQ9Ty8BKYVBWnAZ15wcNIJc/edit?usp=sharing"",""อำนาจเจริญ!L102"")+IMPORTRANGE(""https://docs.google.com/spreadsheets/d/1gF7RJpRnL-1oyjyeWxs5SFWEH7y8ahOZsQlyp2A2e-A/edit?usp=s"&amp;"haring"",""อุดรธานี!L102"")+IMPORTRANGE(""https://docs.google.com/spreadsheets/d/1kfLP0j3INXRa8bTDpcEmoWewMBV61jlFlfzczfjWIgc/edit?usp=sharing"",""อุบลราชธานี!L102"")"),0)</f>
        <v>0</v>
      </c>
      <c r="M102" s="59">
        <f ca="1">IFERROR(__xludf.DUMMYFUNCTION("IMPORTRANGE(""https://docs.google.com/spreadsheets/d/1yhBcrRPreicbMKl9Bu_Snb2-OcQAF62RKfhTLhJ2eAA/edit?usp=sharing"",""กาฬสินธุ์!M102"")+IMPORTRANGE(""https://docs.google.com/spreadsheets/d/1aHkj4IaQMThhwWwevcOymEh837vdxeC_PycurhTbGFA/edit?usp=sharing"","&amp;"""ขอนแก่น!M102"")+IMPORTRANGE(""https://docs.google.com/spreadsheets/d/1FvTu2DsIWUjP6WCWra38Bkj_oOl_sOMf14r5Fg5srxU/edit?usp=sharing"",""ชัยภูมิ!M102"")+IMPORTRANGE(""https://docs.google.com/spreadsheets/d/1XVB7oCJ3pr-vBUdflwPQ8Z2LlzhnCvZaaYjAfP-647E/edit"&amp;"?usp=sharing"",""นครพนม!M102"")+IMPORTRANGE(""https://docs.google.com/spreadsheets/d/1Mnpb-8PYAgn85W6KOTD40hc_Xc55CaLfHoGAbrZ8tls/edit?usp=sharing"",""นครราชสีมา!M102"")+IMPORTRANGE(""https://docs.google.com/spreadsheets/d/1xoDLGBv9CYbyosIhki0kTq6IpYNj-gp"&amp;"jxfobnaDiut0/edit?usp=sharing"",""บึงกาฬ!M102"")+IMPORTRANGE(""https://docs.google.com/spreadsheets/d/1MMPq-JyI6DSgQETxuSiXkesP-P7JHuemnE6QJIa-Nlw/edit?usp=sharing"",""บุรีรัมย์!M102"")+IMPORTRANGE(""https://docs.google.com/spreadsheets/d/1l6IZ8xUPgMrESzc"&amp;"TYwhA1k_tPjeQjJPTqlm8Gd9eU5g/edit?usp=sharing"",""มหาสารคาม!M102"")+IMPORTRANGE(""https://docs.google.com/spreadsheets/d/1uB74YLqNjWX6FObjekfB2NtSYigTQyR2rq9u4Ub2Sq4/edit?usp=sharing"",""มุกดาหาร!M102"")+IMPORTRANGE(""https://docs.google.com/spreadsheets/"&amp;"d/1NexK3geCPxCTO1fzNF8dPec7yZyUx3OaWkFBC9HsQOo/edit?usp=sharing"",""ยโสธร!M102"")+IMPORTRANGE(""https://docs.google.com/spreadsheets/d/1v_cJrbBlyqmnHPReHk44g9NrMRdENNlSy_E_c5M9fIg/edit?usp=sharing"",""ร้อยเอ็ด!M102"")+IMPORTRANGE(""https://docs.google.com"&amp;"/spreadsheets/d/1Ul4RCpCX66NxYADU1QpwAPjOmBzW64SsT11s1wzXw_c/edit?usp=sharing"",""เลย!M102"")+IMPORTRANGE(""https://docs.google.com/spreadsheets/d/1bRrNKwbHDVktQG10isr5vbWRtt5spIZPpkOSWgbT5ug/edit?usp=sharing"",""ศรีสะเกษ!M102"")+IMPORTRANGE(""https://doc"&amp;"s.google.com/spreadsheets/d/17P34_Ow5kFBfdQD0qspb2UuPX5zpi6WMrQzslghyvrI/edit?usp=sharing"",""สกลนคร!M102"")+IMPORTRANGE(""https://docs.google.com/spreadsheets/d/1yswqbM3-AEpThF3ZSUa1AcmHnmRTF1vlJ1CZGcJ8YuU/edit?usp=sharing"",""สุรินทร์!M102"")+IMPORTRANG"&amp;"E(""https://docs.google.com/spreadsheets/d/13JHU_EFbsQOUQ0JSQ3dWy1VTRosIWcDq6Nc99z2qzdc/edit?usp=sharing"",""หนองคาย!M102"")+IMPORTRANGE(""https://docs.google.com/spreadsheets/d/1Hx73zIEgVdDZZaYSTc46Dqv64atFhpr3GelxLbaIN8A/edit?usp=sharing"",""หนองบัวลำภู"&amp;"!M102"")+IMPORTRANGE(""https://docs.google.com/spreadsheets/d/1lFxr3ctmjFN90yc-xV6jrQ9Ty8BKYVBWnAZ15wcNIJc/edit?usp=sharing"",""อำนาจเจริญ!M102"")+IMPORTRANGE(""https://docs.google.com/spreadsheets/d/1gF7RJpRnL-1oyjyeWxs5SFWEH7y8ahOZsQlyp2A2e-A/edit?usp=s"&amp;"haring"",""อุดรธานี!M102"")+IMPORTRANGE(""https://docs.google.com/spreadsheets/d/1kfLP0j3INXRa8bTDpcEmoWewMBV61jlFlfzczfjWIgc/edit?usp=sharing"",""อุบลราชธานี!M102"")"),0)</f>
        <v>0</v>
      </c>
      <c r="N102" s="59">
        <f ca="1">IFERROR(__xludf.DUMMYFUNCTION("IMPORTRANGE(""https://docs.google.com/spreadsheets/d/1yhBcrRPreicbMKl9Bu_Snb2-OcQAF62RKfhTLhJ2eAA/edit?usp=sharing"",""กาฬสินธุ์!N102"")+IMPORTRANGE(""https://docs.google.com/spreadsheets/d/1aHkj4IaQMThhwWwevcOymEh837vdxeC_PycurhTbGFA/edit?usp=sharing"","&amp;"""ขอนแก่น!N102"")+IMPORTRANGE(""https://docs.google.com/spreadsheets/d/1FvTu2DsIWUjP6WCWra38Bkj_oOl_sOMf14r5Fg5srxU/edit?usp=sharing"",""ชัยภูมิ!N102"")+IMPORTRANGE(""https://docs.google.com/spreadsheets/d/1XVB7oCJ3pr-vBUdflwPQ8Z2LlzhnCvZaaYjAfP-647E/edit"&amp;"?usp=sharing"",""นครพนม!N102"")+IMPORTRANGE(""https://docs.google.com/spreadsheets/d/1Mnpb-8PYAgn85W6KOTD40hc_Xc55CaLfHoGAbrZ8tls/edit?usp=sharing"",""นครราชสีมา!N102"")+IMPORTRANGE(""https://docs.google.com/spreadsheets/d/1xoDLGBv9CYbyosIhki0kTq6IpYNj-gp"&amp;"jxfobnaDiut0/edit?usp=sharing"",""บึงกาฬ!N102"")+IMPORTRANGE(""https://docs.google.com/spreadsheets/d/1MMPq-JyI6DSgQETxuSiXkesP-P7JHuemnE6QJIa-Nlw/edit?usp=sharing"",""บุรีรัมย์!N102"")+IMPORTRANGE(""https://docs.google.com/spreadsheets/d/1l6IZ8xUPgMrESzc"&amp;"TYwhA1k_tPjeQjJPTqlm8Gd9eU5g/edit?usp=sharing"",""มหาสารคาม!N102"")+IMPORTRANGE(""https://docs.google.com/spreadsheets/d/1uB74YLqNjWX6FObjekfB2NtSYigTQyR2rq9u4Ub2Sq4/edit?usp=sharing"",""มุกดาหาร!N102"")+IMPORTRANGE(""https://docs.google.com/spreadsheets/"&amp;"d/1NexK3geCPxCTO1fzNF8dPec7yZyUx3OaWkFBC9HsQOo/edit?usp=sharing"",""ยโสธร!N102"")+IMPORTRANGE(""https://docs.google.com/spreadsheets/d/1v_cJrbBlyqmnHPReHk44g9NrMRdENNlSy_E_c5M9fIg/edit?usp=sharing"",""ร้อยเอ็ด!N102"")+IMPORTRANGE(""https://docs.google.com"&amp;"/spreadsheets/d/1Ul4RCpCX66NxYADU1QpwAPjOmBzW64SsT11s1wzXw_c/edit?usp=sharing"",""เลย!N102"")+IMPORTRANGE(""https://docs.google.com/spreadsheets/d/1bRrNKwbHDVktQG10isr5vbWRtt5spIZPpkOSWgbT5ug/edit?usp=sharing"",""ศรีสะเกษ!N102"")+IMPORTRANGE(""https://doc"&amp;"s.google.com/spreadsheets/d/17P34_Ow5kFBfdQD0qspb2UuPX5zpi6WMrQzslghyvrI/edit?usp=sharing"",""สกลนคร!N102"")+IMPORTRANGE(""https://docs.google.com/spreadsheets/d/1yswqbM3-AEpThF3ZSUa1AcmHnmRTF1vlJ1CZGcJ8YuU/edit?usp=sharing"",""สุรินทร์!N102"")+IMPORTRANG"&amp;"E(""https://docs.google.com/spreadsheets/d/13JHU_EFbsQOUQ0JSQ3dWy1VTRosIWcDq6Nc99z2qzdc/edit?usp=sharing"",""หนองคาย!N102"")+IMPORTRANGE(""https://docs.google.com/spreadsheets/d/1Hx73zIEgVdDZZaYSTc46Dqv64atFhpr3GelxLbaIN8A/edit?usp=sharing"",""หนองบัวลำภู"&amp;"!N102"")+IMPORTRANGE(""https://docs.google.com/spreadsheets/d/1lFxr3ctmjFN90yc-xV6jrQ9Ty8BKYVBWnAZ15wcNIJc/edit?usp=sharing"",""อำนาจเจริญ!N102"")+IMPORTRANGE(""https://docs.google.com/spreadsheets/d/1gF7RJpRnL-1oyjyeWxs5SFWEH7y8ahOZsQlyp2A2e-A/edit?usp=s"&amp;"haring"",""อุดรธานี!N102"")+IMPORTRANGE(""https://docs.google.com/spreadsheets/d/1kfLP0j3INXRa8bTDpcEmoWewMBV61jlFlfzczfjWIgc/edit?usp=sharing"",""อุบลราชธานี!N102"")"),0)</f>
        <v>0</v>
      </c>
      <c r="O102" s="59">
        <f t="shared" ca="1" si="47"/>
        <v>0</v>
      </c>
      <c r="P102" s="59">
        <f t="shared" ca="1" si="48"/>
        <v>0</v>
      </c>
    </row>
    <row r="103" spans="1:16" ht="19.5" x14ac:dyDescent="0.3">
      <c r="A103" s="167"/>
      <c r="B103" s="168"/>
      <c r="C103" s="158" t="s">
        <v>16</v>
      </c>
      <c r="D103" s="169" t="s">
        <v>36</v>
      </c>
      <c r="E103" s="170"/>
      <c r="F103" s="170"/>
      <c r="G103" s="171"/>
      <c r="H103" s="172"/>
      <c r="I103" s="164"/>
      <c r="J103" s="57"/>
      <c r="K103" s="58"/>
      <c r="L103" s="58"/>
      <c r="M103" s="58"/>
      <c r="N103" s="58"/>
      <c r="O103" s="165"/>
      <c r="P103" s="165"/>
    </row>
    <row r="104" spans="1:16" ht="18.75" hidden="1" x14ac:dyDescent="0.25">
      <c r="A104" s="184"/>
      <c r="B104" s="185"/>
      <c r="C104" s="185"/>
      <c r="D104" s="186"/>
      <c r="E104" s="187"/>
      <c r="F104" s="187"/>
      <c r="G104" s="188"/>
      <c r="H104" s="189"/>
      <c r="I104" s="190"/>
      <c r="J104" s="190"/>
      <c r="K104" s="191"/>
      <c r="L104" s="23"/>
      <c r="M104" s="23"/>
      <c r="N104" s="23"/>
      <c r="O104" s="23"/>
      <c r="P104" s="23"/>
    </row>
    <row r="105" spans="1:16" ht="18.75" hidden="1" x14ac:dyDescent="0.25">
      <c r="A105" s="184"/>
      <c r="B105" s="185"/>
      <c r="C105" s="185"/>
      <c r="D105" s="186"/>
      <c r="E105" s="187"/>
      <c r="F105" s="187"/>
      <c r="G105" s="188"/>
      <c r="H105" s="189"/>
      <c r="I105" s="190"/>
      <c r="J105" s="190"/>
      <c r="K105" s="191"/>
      <c r="L105" s="23"/>
      <c r="M105" s="23"/>
      <c r="N105" s="23"/>
      <c r="O105" s="23"/>
      <c r="P105" s="23"/>
    </row>
    <row r="106" spans="1:16" ht="18.75" hidden="1" x14ac:dyDescent="0.25">
      <c r="A106" s="184"/>
      <c r="B106" s="185"/>
      <c r="C106" s="185"/>
      <c r="D106" s="185"/>
      <c r="E106" s="187"/>
      <c r="F106" s="187"/>
      <c r="G106" s="188"/>
      <c r="H106" s="189"/>
      <c r="I106" s="190"/>
      <c r="J106" s="190"/>
      <c r="K106" s="191"/>
      <c r="L106" s="23"/>
      <c r="M106" s="23"/>
      <c r="N106" s="23"/>
      <c r="O106" s="23"/>
      <c r="P106" s="23"/>
    </row>
    <row r="107" spans="1:16" ht="19.5" x14ac:dyDescent="0.3">
      <c r="A107" s="167"/>
      <c r="B107" s="168"/>
      <c r="C107" s="168"/>
      <c r="D107" s="192" t="s">
        <v>45</v>
      </c>
      <c r="F107" s="174"/>
      <c r="G107" s="172"/>
      <c r="H107" s="55"/>
      <c r="I107" s="57"/>
      <c r="J107" s="57"/>
      <c r="K107" s="58"/>
      <c r="L107" s="58"/>
      <c r="M107" s="58"/>
      <c r="N107" s="58"/>
      <c r="O107" s="165"/>
      <c r="P107" s="165"/>
    </row>
    <row r="108" spans="1:16" ht="18.75" x14ac:dyDescent="0.25">
      <c r="A108" s="167"/>
      <c r="B108" s="168"/>
      <c r="C108" s="168"/>
      <c r="D108" s="193" t="s">
        <v>46</v>
      </c>
      <c r="E108" s="193"/>
      <c r="F108" s="174"/>
      <c r="G108" s="172"/>
      <c r="H108" s="56" t="s">
        <v>44</v>
      </c>
      <c r="I108" s="194">
        <f ca="1">IFERROR(__xludf.DUMMYFUNCTION("IMPORTRANGE(""https://docs.google.com/spreadsheets/d/1yhBcrRPreicbMKl9Bu_Snb2-OcQAF62RKfhTLhJ2eAA/edit?usp=sharing"",""กาฬสินธุ์!I108"")+IMPORTRANGE(""https://docs.google.com/spreadsheets/d/1aHkj4IaQMThhwWwevcOymEh837vdxeC_PycurhTbGFA/edit?usp=sharing"","&amp;"""ขอนแก่น!I108"")+IMPORTRANGE(""https://docs.google.com/spreadsheets/d/1FvTu2DsIWUjP6WCWra38Bkj_oOl_sOMf14r5Fg5srxU/edit?usp=sharing"",""ชัยภูมิ!I108"")+IMPORTRANGE(""https://docs.google.com/spreadsheets/d/1XVB7oCJ3pr-vBUdflwPQ8Z2LlzhnCvZaaYjAfP-647E/edit"&amp;"?usp=sharing"",""นครพนม!I108"")+IMPORTRANGE(""https://docs.google.com/spreadsheets/d/1Mnpb-8PYAgn85W6KOTD40hc_Xc55CaLfHoGAbrZ8tls/edit?usp=sharing"",""นครราชสีมา!I108"")+IMPORTRANGE(""https://docs.google.com/spreadsheets/d/1xoDLGBv9CYbyosIhki0kTq6IpYNj-gp"&amp;"jxfobnaDiut0/edit?usp=sharing"",""บึงกาฬ!I108"")+IMPORTRANGE(""https://docs.google.com/spreadsheets/d/1MMPq-JyI6DSgQETxuSiXkesP-P7JHuemnE6QJIa-Nlw/edit?usp=sharing"",""บุรีรัมย์!I108"")+IMPORTRANGE(""https://docs.google.com/spreadsheets/d/1l6IZ8xUPgMrESzc"&amp;"TYwhA1k_tPjeQjJPTqlm8Gd9eU5g/edit?usp=sharing"",""มหาสารคาม!I108"")+IMPORTRANGE(""https://docs.google.com/spreadsheets/d/1uB74YLqNjWX6FObjekfB2NtSYigTQyR2rq9u4Ub2Sq4/edit?usp=sharing"",""มุกดาหาร!I108"")+IMPORTRANGE(""https://docs.google.com/spreadsheets/"&amp;"d/1NexK3geCPxCTO1fzNF8dPec7yZyUx3OaWkFBC9HsQOo/edit?usp=sharing"",""ยโสธร!I108"")+IMPORTRANGE(""https://docs.google.com/spreadsheets/d/1v_cJrbBlyqmnHPReHk44g9NrMRdENNlSy_E_c5M9fIg/edit?usp=sharing"",""ร้อยเอ็ด!I108"")+IMPORTRANGE(""https://docs.google.com"&amp;"/spreadsheets/d/1Ul4RCpCX66NxYADU1QpwAPjOmBzW64SsT11s1wzXw_c/edit?usp=sharing"",""เลย!I108"")+IMPORTRANGE(""https://docs.google.com/spreadsheets/d/1bRrNKwbHDVktQG10isr5vbWRtt5spIZPpkOSWgbT5ug/edit?usp=sharing"",""ศรีสะเกษ!I108"")+IMPORTRANGE(""https://doc"&amp;"s.google.com/spreadsheets/d/17P34_Ow5kFBfdQD0qspb2UuPX5zpi6WMrQzslghyvrI/edit?usp=sharing"",""สกลนคร!I108"")+IMPORTRANGE(""https://docs.google.com/spreadsheets/d/1yswqbM3-AEpThF3ZSUa1AcmHnmRTF1vlJ1CZGcJ8YuU/edit?usp=sharing"",""สุรินทร์!I108"")+IMPORTRANG"&amp;"E(""https://docs.google.com/spreadsheets/d/13JHU_EFbsQOUQ0JSQ3dWy1VTRosIWcDq6Nc99z2qzdc/edit?usp=sharing"",""หนองคาย!I108"")+IMPORTRANGE(""https://docs.google.com/spreadsheets/d/1Hx73zIEgVdDZZaYSTc46Dqv64atFhpr3GelxLbaIN8A/edit?usp=sharing"",""หนองบัวลำภู"&amp;"!I108"")+IMPORTRANGE(""https://docs.google.com/spreadsheets/d/1lFxr3ctmjFN90yc-xV6jrQ9Ty8BKYVBWnAZ15wcNIJc/edit?usp=sharing"",""อำนาจเจริญ!I108"")+IMPORTRANGE(""https://docs.google.com/spreadsheets/d/1gF7RJpRnL-1oyjyeWxs5SFWEH7y8ahOZsQlyp2A2e-A/edit?usp=s"&amp;"haring"",""อุดรธานี!I108"")+IMPORTRANGE(""https://docs.google.com/spreadsheets/d/1kfLP0j3INXRa8bTDpcEmoWewMBV61jlFlfzczfjWIgc/edit?usp=sharing"",""อุบลราชธานี!I108"")"),249)</f>
        <v>249</v>
      </c>
      <c r="J108" s="181">
        <f ca="1">IFERROR(__xludf.DUMMYFUNCTION("IMPORTRANGE(""https://docs.google.com/spreadsheets/d/1yhBcrRPreicbMKl9Bu_Snb2-OcQAF62RKfhTLhJ2eAA/edit?usp=sharing"",""กาฬสินธุ์!J108"")+IMPORTRANGE(""https://docs.google.com/spreadsheets/d/1aHkj4IaQMThhwWwevcOymEh837vdxeC_PycurhTbGFA/edit?usp=sharing"","&amp;"""ขอนแก่น!J108"")+IMPORTRANGE(""https://docs.google.com/spreadsheets/d/1FvTu2DsIWUjP6WCWra38Bkj_oOl_sOMf14r5Fg5srxU/edit?usp=sharing"",""ชัยภูมิ!J108"")+IMPORTRANGE(""https://docs.google.com/spreadsheets/d/1XVB7oCJ3pr-vBUdflwPQ8Z2LlzhnCvZaaYjAfP-647E/edit"&amp;"?usp=sharing"",""นครพนม!J108"")+IMPORTRANGE(""https://docs.google.com/spreadsheets/d/1Mnpb-8PYAgn85W6KOTD40hc_Xc55CaLfHoGAbrZ8tls/edit?usp=sharing"",""นครราชสีมา!J108"")+IMPORTRANGE(""https://docs.google.com/spreadsheets/d/1xoDLGBv9CYbyosIhki0kTq6IpYNj-gp"&amp;"jxfobnaDiut0/edit?usp=sharing"",""บึงกาฬ!J108"")+IMPORTRANGE(""https://docs.google.com/spreadsheets/d/1MMPq-JyI6DSgQETxuSiXkesP-P7JHuemnE6QJIa-Nlw/edit?usp=sharing"",""บุรีรัมย์!J108"")+IMPORTRANGE(""https://docs.google.com/spreadsheets/d/1l6IZ8xUPgMrESzc"&amp;"TYwhA1k_tPjeQjJPTqlm8Gd9eU5g/edit?usp=sharing"",""มหาสารคาม!J108"")+IMPORTRANGE(""https://docs.google.com/spreadsheets/d/1uB74YLqNjWX6FObjekfB2NtSYigTQyR2rq9u4Ub2Sq4/edit?usp=sharing"",""มุกดาหาร!J108"")+IMPORTRANGE(""https://docs.google.com/spreadsheets/"&amp;"d/1NexK3geCPxCTO1fzNF8dPec7yZyUx3OaWkFBC9HsQOo/edit?usp=sharing"",""ยโสธร!J108"")+IMPORTRANGE(""https://docs.google.com/spreadsheets/d/1v_cJrbBlyqmnHPReHk44g9NrMRdENNlSy_E_c5M9fIg/edit?usp=sharing"",""ร้อยเอ็ด!J108"")+IMPORTRANGE(""https://docs.google.com"&amp;"/spreadsheets/d/1Ul4RCpCX66NxYADU1QpwAPjOmBzW64SsT11s1wzXw_c/edit?usp=sharing"",""เลย!J108"")+IMPORTRANGE(""https://docs.google.com/spreadsheets/d/1bRrNKwbHDVktQG10isr5vbWRtt5spIZPpkOSWgbT5ug/edit?usp=sharing"",""ศรีสะเกษ!J108"")+IMPORTRANGE(""https://doc"&amp;"s.google.com/spreadsheets/d/17P34_Ow5kFBfdQD0qspb2UuPX5zpi6WMrQzslghyvrI/edit?usp=sharing"",""สกลนคร!J108"")+IMPORTRANGE(""https://docs.google.com/spreadsheets/d/1yswqbM3-AEpThF3ZSUa1AcmHnmRTF1vlJ1CZGcJ8YuU/edit?usp=sharing"",""สุรินทร์!J108"")+IMPORTRANG"&amp;"E(""https://docs.google.com/spreadsheets/d/13JHU_EFbsQOUQ0JSQ3dWy1VTRosIWcDq6Nc99z2qzdc/edit?usp=sharing"",""หนองคาย!J108"")+IMPORTRANGE(""https://docs.google.com/spreadsheets/d/1Hx73zIEgVdDZZaYSTc46Dqv64atFhpr3GelxLbaIN8A/edit?usp=sharing"",""หนองบัวลำภู"&amp;"!J108"")+IMPORTRANGE(""https://docs.google.com/spreadsheets/d/1lFxr3ctmjFN90yc-xV6jrQ9Ty8BKYVBWnAZ15wcNIJc/edit?usp=sharing"",""อำนาจเจริญ!J108"")+IMPORTRANGE(""https://docs.google.com/spreadsheets/d/1gF7RJpRnL-1oyjyeWxs5SFWEH7y8ahOZsQlyp2A2e-A/edit?usp=s"&amp;"haring"",""อุดรธานี!J108"")+IMPORTRANGE(""https://docs.google.com/spreadsheets/d/1kfLP0j3INXRa8bTDpcEmoWewMBV61jlFlfzczfjWIgc/edit?usp=sharing"",""อุบลราชธานี!J108"")"),0)</f>
        <v>0</v>
      </c>
      <c r="K108" s="59">
        <f t="shared" ref="K108:K109" ca="1" si="53">IF(I108&gt;0,J108*100/I108,0)</f>
        <v>0</v>
      </c>
      <c r="L108" s="58"/>
      <c r="M108" s="58"/>
      <c r="N108" s="58"/>
      <c r="O108" s="165"/>
      <c r="P108" s="165"/>
    </row>
    <row r="109" spans="1:16" ht="18.75" x14ac:dyDescent="0.25">
      <c r="A109" s="167"/>
      <c r="B109" s="168"/>
      <c r="C109" s="168"/>
      <c r="D109" s="178" t="s">
        <v>47</v>
      </c>
      <c r="E109" s="178"/>
      <c r="F109" s="174"/>
      <c r="G109" s="172"/>
      <c r="H109" s="56" t="s">
        <v>33</v>
      </c>
      <c r="I109" s="194">
        <f ca="1">IFERROR(__xludf.DUMMYFUNCTION("IMPORTRANGE(""https://docs.google.com/spreadsheets/d/1yhBcrRPreicbMKl9Bu_Snb2-OcQAF62RKfhTLhJ2eAA/edit?usp=sharing"",""กาฬสินธุ์!I109"")+IMPORTRANGE(""https://docs.google.com/spreadsheets/d/1aHkj4IaQMThhwWwevcOymEh837vdxeC_PycurhTbGFA/edit?usp=sharing"","&amp;"""ขอนแก่น!I109"")+IMPORTRANGE(""https://docs.google.com/spreadsheets/d/1FvTu2DsIWUjP6WCWra38Bkj_oOl_sOMf14r5Fg5srxU/edit?usp=sharing"",""ชัยภูมิ!I109"")+IMPORTRANGE(""https://docs.google.com/spreadsheets/d/1XVB7oCJ3pr-vBUdflwPQ8Z2LlzhnCvZaaYjAfP-647E/edit"&amp;"?usp=sharing"",""นครพนม!I109"")+IMPORTRANGE(""https://docs.google.com/spreadsheets/d/1Mnpb-8PYAgn85W6KOTD40hc_Xc55CaLfHoGAbrZ8tls/edit?usp=sharing"",""นครราชสีมา!I109"")+IMPORTRANGE(""https://docs.google.com/spreadsheets/d/1xoDLGBv9CYbyosIhki0kTq6IpYNj-gp"&amp;"jxfobnaDiut0/edit?usp=sharing"",""บึงกาฬ!I109"")+IMPORTRANGE(""https://docs.google.com/spreadsheets/d/1MMPq-JyI6DSgQETxuSiXkesP-P7JHuemnE6QJIa-Nlw/edit?usp=sharing"",""บุรีรัมย์!I109"")+IMPORTRANGE(""https://docs.google.com/spreadsheets/d/1l6IZ8xUPgMrESzc"&amp;"TYwhA1k_tPjeQjJPTqlm8Gd9eU5g/edit?usp=sharing"",""มหาสารคาม!I109"")+IMPORTRANGE(""https://docs.google.com/spreadsheets/d/1uB74YLqNjWX6FObjekfB2NtSYigTQyR2rq9u4Ub2Sq4/edit?usp=sharing"",""มุกดาหาร!I109"")+IMPORTRANGE(""https://docs.google.com/spreadsheets/"&amp;"d/1NexK3geCPxCTO1fzNF8dPec7yZyUx3OaWkFBC9HsQOo/edit?usp=sharing"",""ยโสธร!I109"")+IMPORTRANGE(""https://docs.google.com/spreadsheets/d/1v_cJrbBlyqmnHPReHk44g9NrMRdENNlSy_E_c5M9fIg/edit?usp=sharing"",""ร้อยเอ็ด!I109"")+IMPORTRANGE(""https://docs.google.com"&amp;"/spreadsheets/d/1Ul4RCpCX66NxYADU1QpwAPjOmBzW64SsT11s1wzXw_c/edit?usp=sharing"",""เลย!I109"")+IMPORTRANGE(""https://docs.google.com/spreadsheets/d/1bRrNKwbHDVktQG10isr5vbWRtt5spIZPpkOSWgbT5ug/edit?usp=sharing"",""ศรีสะเกษ!I109"")+IMPORTRANGE(""https://doc"&amp;"s.google.com/spreadsheets/d/17P34_Ow5kFBfdQD0qspb2UuPX5zpi6WMrQzslghyvrI/edit?usp=sharing"",""สกลนคร!I109"")+IMPORTRANGE(""https://docs.google.com/spreadsheets/d/1yswqbM3-AEpThF3ZSUa1AcmHnmRTF1vlJ1CZGcJ8YuU/edit?usp=sharing"",""สุรินทร์!I109"")+IMPORTRANG"&amp;"E(""https://docs.google.com/spreadsheets/d/13JHU_EFbsQOUQ0JSQ3dWy1VTRosIWcDq6Nc99z2qzdc/edit?usp=sharing"",""หนองคาย!I109"")+IMPORTRANGE(""https://docs.google.com/spreadsheets/d/1Hx73zIEgVdDZZaYSTc46Dqv64atFhpr3GelxLbaIN8A/edit?usp=sharing"",""หนองบัวลำภู"&amp;"!I109"")+IMPORTRANGE(""https://docs.google.com/spreadsheets/d/1lFxr3ctmjFN90yc-xV6jrQ9Ty8BKYVBWnAZ15wcNIJc/edit?usp=sharing"",""อำนาจเจริญ!I109"")+IMPORTRANGE(""https://docs.google.com/spreadsheets/d/1gF7RJpRnL-1oyjyeWxs5SFWEH7y8ahOZsQlyp2A2e-A/edit?usp=s"&amp;"haring"",""อุดรธานี!I109"")+IMPORTRANGE(""https://docs.google.com/spreadsheets/d/1kfLP0j3INXRa8bTDpcEmoWewMBV61jlFlfzczfjWIgc/edit?usp=sharing"",""อุบลราชธานี!I109"")"),83)</f>
        <v>83</v>
      </c>
      <c r="J109" s="181">
        <f ca="1">IFERROR(__xludf.DUMMYFUNCTION("IMPORTRANGE(""https://docs.google.com/spreadsheets/d/1yhBcrRPreicbMKl9Bu_Snb2-OcQAF62RKfhTLhJ2eAA/edit?usp=sharing"",""กาฬสินธุ์!J109"")+IMPORTRANGE(""https://docs.google.com/spreadsheets/d/1aHkj4IaQMThhwWwevcOymEh837vdxeC_PycurhTbGFA/edit?usp=sharing"","&amp;"""ขอนแก่น!J109"")+IMPORTRANGE(""https://docs.google.com/spreadsheets/d/1FvTu2DsIWUjP6WCWra38Bkj_oOl_sOMf14r5Fg5srxU/edit?usp=sharing"",""ชัยภูมิ!J109"")+IMPORTRANGE(""https://docs.google.com/spreadsheets/d/1XVB7oCJ3pr-vBUdflwPQ8Z2LlzhnCvZaaYjAfP-647E/edit"&amp;"?usp=sharing"",""นครพนม!J109"")+IMPORTRANGE(""https://docs.google.com/spreadsheets/d/1Mnpb-8PYAgn85W6KOTD40hc_Xc55CaLfHoGAbrZ8tls/edit?usp=sharing"",""นครราชสีมา!J109"")+IMPORTRANGE(""https://docs.google.com/spreadsheets/d/1xoDLGBv9CYbyosIhki0kTq6IpYNj-gp"&amp;"jxfobnaDiut0/edit?usp=sharing"",""บึงกาฬ!J109"")+IMPORTRANGE(""https://docs.google.com/spreadsheets/d/1MMPq-JyI6DSgQETxuSiXkesP-P7JHuemnE6QJIa-Nlw/edit?usp=sharing"",""บุรีรัมย์!J109"")+IMPORTRANGE(""https://docs.google.com/spreadsheets/d/1l6IZ8xUPgMrESzc"&amp;"TYwhA1k_tPjeQjJPTqlm8Gd9eU5g/edit?usp=sharing"",""มหาสารคาม!J109"")+IMPORTRANGE(""https://docs.google.com/spreadsheets/d/1uB74YLqNjWX6FObjekfB2NtSYigTQyR2rq9u4Ub2Sq4/edit?usp=sharing"",""มุกดาหาร!J109"")+IMPORTRANGE(""https://docs.google.com/spreadsheets/"&amp;"d/1NexK3geCPxCTO1fzNF8dPec7yZyUx3OaWkFBC9HsQOo/edit?usp=sharing"",""ยโสธร!J109"")+IMPORTRANGE(""https://docs.google.com/spreadsheets/d/1v_cJrbBlyqmnHPReHk44g9NrMRdENNlSy_E_c5M9fIg/edit?usp=sharing"",""ร้อยเอ็ด!J109"")+IMPORTRANGE(""https://docs.google.com"&amp;"/spreadsheets/d/1Ul4RCpCX66NxYADU1QpwAPjOmBzW64SsT11s1wzXw_c/edit?usp=sharing"",""เลย!J109"")+IMPORTRANGE(""https://docs.google.com/spreadsheets/d/1bRrNKwbHDVktQG10isr5vbWRtt5spIZPpkOSWgbT5ug/edit?usp=sharing"",""ศรีสะเกษ!J109"")+IMPORTRANGE(""https://doc"&amp;"s.google.com/spreadsheets/d/17P34_Ow5kFBfdQD0qspb2UuPX5zpi6WMrQzslghyvrI/edit?usp=sharing"",""สกลนคร!J109"")+IMPORTRANGE(""https://docs.google.com/spreadsheets/d/1yswqbM3-AEpThF3ZSUa1AcmHnmRTF1vlJ1CZGcJ8YuU/edit?usp=sharing"",""สุรินทร์!J109"")+IMPORTRANG"&amp;"E(""https://docs.google.com/spreadsheets/d/13JHU_EFbsQOUQ0JSQ3dWy1VTRosIWcDq6Nc99z2qzdc/edit?usp=sharing"",""หนองคาย!J109"")+IMPORTRANGE(""https://docs.google.com/spreadsheets/d/1Hx73zIEgVdDZZaYSTc46Dqv64atFhpr3GelxLbaIN8A/edit?usp=sharing"",""หนองบัวลำภู"&amp;"!J109"")+IMPORTRANGE(""https://docs.google.com/spreadsheets/d/1lFxr3ctmjFN90yc-xV6jrQ9Ty8BKYVBWnAZ15wcNIJc/edit?usp=sharing"",""อำนาจเจริญ!J109"")+IMPORTRANGE(""https://docs.google.com/spreadsheets/d/1gF7RJpRnL-1oyjyeWxs5SFWEH7y8ahOZsQlyp2A2e-A/edit?usp=s"&amp;"haring"",""อุดรธานี!J109"")+IMPORTRANGE(""https://docs.google.com/spreadsheets/d/1kfLP0j3INXRa8bTDpcEmoWewMBV61jlFlfzczfjWIgc/edit?usp=sharing"",""อุบลราชธานี!J109"")"),0)</f>
        <v>0</v>
      </c>
      <c r="K109" s="59">
        <f t="shared" ca="1" si="53"/>
        <v>0</v>
      </c>
      <c r="L109" s="58"/>
      <c r="M109" s="58"/>
      <c r="N109" s="58"/>
      <c r="O109" s="165"/>
      <c r="P109" s="165"/>
    </row>
    <row r="110" spans="1:16" ht="19.5" hidden="1" x14ac:dyDescent="0.3">
      <c r="A110" s="184"/>
      <c r="B110" s="185"/>
      <c r="C110" s="185"/>
      <c r="D110" s="187"/>
      <c r="E110" s="195"/>
      <c r="F110" s="187"/>
      <c r="G110" s="188"/>
      <c r="H110" s="188"/>
      <c r="I110" s="196">
        <f ca="1">IFERROR(__xludf.DUMMYFUNCTION("IMPORTRANGE(""https://docs.google.com/spreadsheets/d/1yhBcrRPreicbMKl9Bu_Snb2-OcQAF62RKfhTLhJ2eAA/edit?usp=sharing"",""กาฬสินธุ์!I84"")+IMPORTRANGE(""https://docs.google.com/spreadsheets/d/1aHkj4IaQMThhwWwevcOymEh837vdxeC_PycurhTbGFA/edit?usp=sharing"","""&amp;"ขอนแก่น!I84"")+IMPORTRANGE(""https://docs.google.com/spreadsheets/d/1FvTu2DsIWUjP6WCWra38Bkj_oOl_sOMf14r5Fg5srxU/edit?usp=sharing"",""ชัยภูมิ!I84"")+IMPORTRANGE(""https://docs.google.com/spreadsheets/d/1XVB7oCJ3pr-vBUdflwPQ8Z2LlzhnCvZaaYjAfP-647E/edit?usp"&amp;"=sharing"",""นครพนม!I84"")+IMPORTRANGE(""https://docs.google.com/spreadsheets/d/1Mnpb-8PYAgn85W6KOTD40hc_Xc55CaLfHoGAbrZ8tls/edit?usp=sharing"",""นครราชสีมา!I84"")+IMPORTRANGE(""https://docs.google.com/spreadsheets/d/1xoDLGBv9CYbyosIhki0kTq6IpYNj-gpjxfobn"&amp;"aDiut0/edit?usp=sharing"",""บึงกาฬ!I84"")+IMPORTRANGE(""https://docs.google.com/spreadsheets/d/1MMPq-JyI6DSgQETxuSiXkesP-P7JHuemnE6QJIa-Nlw/edit?usp=sharing"",""บุรีรัมย์!I84"")+IMPORTRANGE(""https://docs.google.com/spreadsheets/d/1l6IZ8xUPgMrESzcTYwhA1k_"&amp;"tPjeQjJPTqlm8Gd9eU5g/edit?usp=sharing"",""มหาสารคาม!I84"")+IMPORTRANGE(""https://docs.google.com/spreadsheets/d/1uB74YLqNjWX6FObjekfB2NtSYigTQyR2rq9u4Ub2Sq4/edit?usp=sharing"",""มุกดาหาร!I84"")+IMPORTRANGE(""https://docs.google.com/spreadsheets/d/1NexK3ge"&amp;"CPxCTO1fzNF8dPec7yZyUx3OaWkFBC9HsQOo/edit?usp=sharing"",""ยโสธร!I84"")+IMPORTRANGE(""https://docs.google.com/spreadsheets/d/1v_cJrbBlyqmnHPReHk44g9NrMRdENNlSy_E_c5M9fIg/edit?usp=sharing"",""ร้อยเอ็ด!I84"")+IMPORTRANGE(""https://docs.google.com/spreadsheet"&amp;"s/d/1Ul4RCpCX66NxYADU1QpwAPjOmBzW64SsT11s1wzXw_c/edit?usp=sharing"",""เลย!I84"")+IMPORTRANGE(""https://docs.google.com/spreadsheets/d/1bRrNKwbHDVktQG10isr5vbWRtt5spIZPpkOSWgbT5ug/edit?usp=sharing"",""ศรีสะเกษ!I84"")+IMPORTRANGE(""https://docs.google.com/s"&amp;"preadsheets/d/17P34_Ow5kFBfdQD0qspb2UuPX5zpi6WMrQzslghyvrI/edit?usp=sharing"",""สกลนคร!I84"")+IMPORTRANGE(""https://docs.google.com/spreadsheets/d/1yswqbM3-AEpThF3ZSUa1AcmHnmRTF1vlJ1CZGcJ8YuU/edit?usp=sharing"",""สุรินทร์!I84"")+IMPORTRANGE(""https://docs"&amp;".google.com/spreadsheets/d/13JHU_EFbsQOUQ0JSQ3dWy1VTRosIWcDq6Nc99z2qzdc/edit?usp=sharing"",""หนองคาย!I84"")+IMPORTRANGE(""https://docs.google.com/spreadsheets/d/1Hx73zIEgVdDZZaYSTc46Dqv64atFhpr3GelxLbaIN8A/edit?usp=sharing"",""หนองบัวลำภู!I84"")+IMPORTRAN"&amp;"GE(""https://docs.google.com/spreadsheets/d/1lFxr3ctmjFN90yc-xV6jrQ9Ty8BKYVBWnAZ15wcNIJc/edit?usp=sharing"",""อำนาจเจริญ!I84"")+IMPORTRANGE(""https://docs.google.com/spreadsheets/d/1gF7RJpRnL-1oyjyeWxs5SFWEH7y8ahOZsQlyp2A2e-A/edit?usp=sharing"",""อุดรธานี"&amp;"!I84"")+IMPORTRANGE(""https://docs.google.com/spreadsheets/d/1kfLP0j3INXRa8bTDpcEmoWewMBV61jlFlfzczfjWIgc/edit?usp=sharing"",""อุบลราชธานี!I84"")"),0)</f>
        <v>0</v>
      </c>
      <c r="J110" s="197">
        <f ca="1">IFERROR(__xludf.DUMMYFUNCTION("IMPORTRANGE(""https://docs.google.com/spreadsheets/d/1yhBcrRPreicbMKl9Bu_Snb2-OcQAF62RKfhTLhJ2eAA/edit?usp=sharing"",""กาฬสินธุ์!J84"")+IMPORTRANGE(""https://docs.google.com/spreadsheets/d/1aHkj4IaQMThhwWwevcOymEh837vdxeC_PycurhTbGFA/edit?usp=sharing"","""&amp;"ขอนแก่น!J84"")+IMPORTRANGE(""https://docs.google.com/spreadsheets/d/1FvTu2DsIWUjP6WCWra38Bkj_oOl_sOMf14r5Fg5srxU/edit?usp=sharing"",""ชัยภูมิ!J84"")+IMPORTRANGE(""https://docs.google.com/spreadsheets/d/1XVB7oCJ3pr-vBUdflwPQ8Z2LlzhnCvZaaYjAfP-647E/edit?usp"&amp;"=sharing"",""นครพนม!J84"")+IMPORTRANGE(""https://docs.google.com/spreadsheets/d/1Mnpb-8PYAgn85W6KOTD40hc_Xc55CaLfHoGAbrZ8tls/edit?usp=sharing"",""นครราชสีมา!J84"")+IMPORTRANGE(""https://docs.google.com/spreadsheets/d/1xoDLGBv9CYbyosIhki0kTq6IpYNj-gpjxfobn"&amp;"aDiut0/edit?usp=sharing"",""บึงกาฬ!J84"")+IMPORTRANGE(""https://docs.google.com/spreadsheets/d/1MMPq-JyI6DSgQETxuSiXkesP-P7JHuemnE6QJIa-Nlw/edit?usp=sharing"",""บุรีรัมย์!J84"")+IMPORTRANGE(""https://docs.google.com/spreadsheets/d/1l6IZ8xUPgMrESzcTYwhA1k_"&amp;"tPjeQjJPTqlm8Gd9eU5g/edit?usp=sharing"",""มหาสารคาม!J84"")+IMPORTRANGE(""https://docs.google.com/spreadsheets/d/1uB74YLqNjWX6FObjekfB2NtSYigTQyR2rq9u4Ub2Sq4/edit?usp=sharing"",""มุกดาหาร!J84"")+IMPORTRANGE(""https://docs.google.com/spreadsheets/d/1NexK3ge"&amp;"CPxCTO1fzNF8dPec7yZyUx3OaWkFBC9HsQOo/edit?usp=sharing"",""ยโสธร!J84"")+IMPORTRANGE(""https://docs.google.com/spreadsheets/d/1v_cJrbBlyqmnHPReHk44g9NrMRdENNlSy_E_c5M9fIg/edit?usp=sharing"",""ร้อยเอ็ด!J84"")+IMPORTRANGE(""https://docs.google.com/spreadsheet"&amp;"s/d/1Ul4RCpCX66NxYADU1QpwAPjOmBzW64SsT11s1wzXw_c/edit?usp=sharing"",""เลย!J84"")+IMPORTRANGE(""https://docs.google.com/spreadsheets/d/1bRrNKwbHDVktQG10isr5vbWRtt5spIZPpkOSWgbT5ug/edit?usp=sharing"",""ศรีสะเกษ!J84"")+IMPORTRANGE(""https://docs.google.com/s"&amp;"preadsheets/d/17P34_Ow5kFBfdQD0qspb2UuPX5zpi6WMrQzslghyvrI/edit?usp=sharing"",""สกลนคร!J84"")+IMPORTRANGE(""https://docs.google.com/spreadsheets/d/1yswqbM3-AEpThF3ZSUa1AcmHnmRTF1vlJ1CZGcJ8YuU/edit?usp=sharing"",""สุรินทร์!J84"")+IMPORTRANGE(""https://docs"&amp;".google.com/spreadsheets/d/13JHU_EFbsQOUQ0JSQ3dWy1VTRosIWcDq6Nc99z2qzdc/edit?usp=sharing"",""หนองคาย!J84"")+IMPORTRANGE(""https://docs.google.com/spreadsheets/d/1Hx73zIEgVdDZZaYSTc46Dqv64atFhpr3GelxLbaIN8A/edit?usp=sharing"",""หนองบัวลำภู!J84"")+IMPORTRAN"&amp;"GE(""https://docs.google.com/spreadsheets/d/1lFxr3ctmjFN90yc-xV6jrQ9Ty8BKYVBWnAZ15wcNIJc/edit?usp=sharing"",""อำนาจเจริญ!J84"")+IMPORTRANGE(""https://docs.google.com/spreadsheets/d/1gF7RJpRnL-1oyjyeWxs5SFWEH7y8ahOZsQlyp2A2e-A/edit?usp=sharing"",""อุดรธานี"&amp;"!J84"")+IMPORTRANGE(""https://docs.google.com/spreadsheets/d/1kfLP0j3INXRa8bTDpcEmoWewMBV61jlFlfzczfjWIgc/edit?usp=sharing"",""อุบลราชธานี!J84"")"),0)</f>
        <v>0</v>
      </c>
      <c r="K110" s="198"/>
      <c r="L110" s="23"/>
      <c r="M110" s="23"/>
      <c r="N110" s="23"/>
      <c r="O110" s="23"/>
      <c r="P110" s="23"/>
    </row>
    <row r="111" spans="1:16" ht="18.75" hidden="1" x14ac:dyDescent="0.25">
      <c r="A111" s="184"/>
      <c r="B111" s="185"/>
      <c r="C111" s="185"/>
      <c r="D111" s="187"/>
      <c r="E111" s="186"/>
      <c r="F111" s="187"/>
      <c r="G111" s="188"/>
      <c r="H111" s="189"/>
      <c r="I111" s="190">
        <f ca="1">IFERROR(__xludf.DUMMYFUNCTION("IMPORTRANGE(""https://docs.google.com/spreadsheets/d/1yhBcrRPreicbMKl9Bu_Snb2-OcQAF62RKfhTLhJ2eAA/edit?usp=sharing"",""กาฬสินธุ์!I84"")+IMPORTRANGE(""https://docs.google.com/spreadsheets/d/1aHkj4IaQMThhwWwevcOymEh837vdxeC_PycurhTbGFA/edit?usp=sharing"","""&amp;"ขอนแก่น!I84"")+IMPORTRANGE(""https://docs.google.com/spreadsheets/d/1FvTu2DsIWUjP6WCWra38Bkj_oOl_sOMf14r5Fg5srxU/edit?usp=sharing"",""ชัยภูมิ!I84"")+IMPORTRANGE(""https://docs.google.com/spreadsheets/d/1XVB7oCJ3pr-vBUdflwPQ8Z2LlzhnCvZaaYjAfP-647E/edit?usp"&amp;"=sharing"",""นครพนม!I84"")+IMPORTRANGE(""https://docs.google.com/spreadsheets/d/1Mnpb-8PYAgn85W6KOTD40hc_Xc55CaLfHoGAbrZ8tls/edit?usp=sharing"",""นครราชสีมา!I84"")+IMPORTRANGE(""https://docs.google.com/spreadsheets/d/1xoDLGBv9CYbyosIhki0kTq6IpYNj-gpjxfobn"&amp;"aDiut0/edit?usp=sharing"",""บึงกาฬ!I84"")+IMPORTRANGE(""https://docs.google.com/spreadsheets/d/1MMPq-JyI6DSgQETxuSiXkesP-P7JHuemnE6QJIa-Nlw/edit?usp=sharing"",""บุรีรัมย์!I84"")+IMPORTRANGE(""https://docs.google.com/spreadsheets/d/1l6IZ8xUPgMrESzcTYwhA1k_"&amp;"tPjeQjJPTqlm8Gd9eU5g/edit?usp=sharing"",""มหาสารคาม!I84"")+IMPORTRANGE(""https://docs.google.com/spreadsheets/d/1uB74YLqNjWX6FObjekfB2NtSYigTQyR2rq9u4Ub2Sq4/edit?usp=sharing"",""มุกดาหาร!I84"")+IMPORTRANGE(""https://docs.google.com/spreadsheets/d/1NexK3ge"&amp;"CPxCTO1fzNF8dPec7yZyUx3OaWkFBC9HsQOo/edit?usp=sharing"",""ยโสธร!I84"")+IMPORTRANGE(""https://docs.google.com/spreadsheets/d/1v_cJrbBlyqmnHPReHk44g9NrMRdENNlSy_E_c5M9fIg/edit?usp=sharing"",""ร้อยเอ็ด!I84"")+IMPORTRANGE(""https://docs.google.com/spreadsheet"&amp;"s/d/1Ul4RCpCX66NxYADU1QpwAPjOmBzW64SsT11s1wzXw_c/edit?usp=sharing"",""เลย!I84"")+IMPORTRANGE(""https://docs.google.com/spreadsheets/d/1bRrNKwbHDVktQG10isr5vbWRtt5spIZPpkOSWgbT5ug/edit?usp=sharing"",""ศรีสะเกษ!I84"")+IMPORTRANGE(""https://docs.google.com/s"&amp;"preadsheets/d/17P34_Ow5kFBfdQD0qspb2UuPX5zpi6WMrQzslghyvrI/edit?usp=sharing"",""สกลนคร!I84"")+IMPORTRANGE(""https://docs.google.com/spreadsheets/d/1yswqbM3-AEpThF3ZSUa1AcmHnmRTF1vlJ1CZGcJ8YuU/edit?usp=sharing"",""สุรินทร์!I84"")+IMPORTRANGE(""https://docs"&amp;".google.com/spreadsheets/d/13JHU_EFbsQOUQ0JSQ3dWy1VTRosIWcDq6Nc99z2qzdc/edit?usp=sharing"",""หนองคาย!I84"")+IMPORTRANGE(""https://docs.google.com/spreadsheets/d/1Hx73zIEgVdDZZaYSTc46Dqv64atFhpr3GelxLbaIN8A/edit?usp=sharing"",""หนองบัวลำภู!I84"")+IMPORTRAN"&amp;"GE(""https://docs.google.com/spreadsheets/d/1lFxr3ctmjFN90yc-xV6jrQ9Ty8BKYVBWnAZ15wcNIJc/edit?usp=sharing"",""อำนาจเจริญ!I84"")+IMPORTRANGE(""https://docs.google.com/spreadsheets/d/1gF7RJpRnL-1oyjyeWxs5SFWEH7y8ahOZsQlyp2A2e-A/edit?usp=sharing"",""อุดรธานี"&amp;"!I84"")+IMPORTRANGE(""https://docs.google.com/spreadsheets/d/1kfLP0j3INXRa8bTDpcEmoWewMBV61jlFlfzczfjWIgc/edit?usp=sharing"",""อุบลราชธานี!I84"")"),0)</f>
        <v>0</v>
      </c>
      <c r="J111" s="199">
        <f ca="1">IFERROR(__xludf.DUMMYFUNCTION("IMPORTRANGE(""https://docs.google.com/spreadsheets/d/1yhBcrRPreicbMKl9Bu_Snb2-OcQAF62RKfhTLhJ2eAA/edit?usp=sharing"",""กาฬสินธุ์!J84"")+IMPORTRANGE(""https://docs.google.com/spreadsheets/d/1aHkj4IaQMThhwWwevcOymEh837vdxeC_PycurhTbGFA/edit?usp=sharing"","""&amp;"ขอนแก่น!J84"")+IMPORTRANGE(""https://docs.google.com/spreadsheets/d/1FvTu2DsIWUjP6WCWra38Bkj_oOl_sOMf14r5Fg5srxU/edit?usp=sharing"",""ชัยภูมิ!J84"")+IMPORTRANGE(""https://docs.google.com/spreadsheets/d/1XVB7oCJ3pr-vBUdflwPQ8Z2LlzhnCvZaaYjAfP-647E/edit?usp"&amp;"=sharing"",""นครพนม!J84"")+IMPORTRANGE(""https://docs.google.com/spreadsheets/d/1Mnpb-8PYAgn85W6KOTD40hc_Xc55CaLfHoGAbrZ8tls/edit?usp=sharing"",""นครราชสีมา!J84"")+IMPORTRANGE(""https://docs.google.com/spreadsheets/d/1xoDLGBv9CYbyosIhki0kTq6IpYNj-gpjxfobn"&amp;"aDiut0/edit?usp=sharing"",""บึงกาฬ!J84"")+IMPORTRANGE(""https://docs.google.com/spreadsheets/d/1MMPq-JyI6DSgQETxuSiXkesP-P7JHuemnE6QJIa-Nlw/edit?usp=sharing"",""บุรีรัมย์!J84"")+IMPORTRANGE(""https://docs.google.com/spreadsheets/d/1l6IZ8xUPgMrESzcTYwhA1k_"&amp;"tPjeQjJPTqlm8Gd9eU5g/edit?usp=sharing"",""มหาสารคาม!J84"")+IMPORTRANGE(""https://docs.google.com/spreadsheets/d/1uB74YLqNjWX6FObjekfB2NtSYigTQyR2rq9u4Ub2Sq4/edit?usp=sharing"",""มุกดาหาร!J84"")+IMPORTRANGE(""https://docs.google.com/spreadsheets/d/1NexK3ge"&amp;"CPxCTO1fzNF8dPec7yZyUx3OaWkFBC9HsQOo/edit?usp=sharing"",""ยโสธร!J84"")+IMPORTRANGE(""https://docs.google.com/spreadsheets/d/1v_cJrbBlyqmnHPReHk44g9NrMRdENNlSy_E_c5M9fIg/edit?usp=sharing"",""ร้อยเอ็ด!J84"")+IMPORTRANGE(""https://docs.google.com/spreadsheet"&amp;"s/d/1Ul4RCpCX66NxYADU1QpwAPjOmBzW64SsT11s1wzXw_c/edit?usp=sharing"",""เลย!J84"")+IMPORTRANGE(""https://docs.google.com/spreadsheets/d/1bRrNKwbHDVktQG10isr5vbWRtt5spIZPpkOSWgbT5ug/edit?usp=sharing"",""ศรีสะเกษ!J84"")+IMPORTRANGE(""https://docs.google.com/s"&amp;"preadsheets/d/17P34_Ow5kFBfdQD0qspb2UuPX5zpi6WMrQzslghyvrI/edit?usp=sharing"",""สกลนคร!J84"")+IMPORTRANGE(""https://docs.google.com/spreadsheets/d/1yswqbM3-AEpThF3ZSUa1AcmHnmRTF1vlJ1CZGcJ8YuU/edit?usp=sharing"",""สุรินทร์!J84"")+IMPORTRANGE(""https://docs"&amp;".google.com/spreadsheets/d/13JHU_EFbsQOUQ0JSQ3dWy1VTRosIWcDq6Nc99z2qzdc/edit?usp=sharing"",""หนองคาย!J84"")+IMPORTRANGE(""https://docs.google.com/spreadsheets/d/1Hx73zIEgVdDZZaYSTc46Dqv64atFhpr3GelxLbaIN8A/edit?usp=sharing"",""หนองบัวลำภู!J84"")+IMPORTRAN"&amp;"GE(""https://docs.google.com/spreadsheets/d/1lFxr3ctmjFN90yc-xV6jrQ9Ty8BKYVBWnAZ15wcNIJc/edit?usp=sharing"",""อำนาจเจริญ!J84"")+IMPORTRANGE(""https://docs.google.com/spreadsheets/d/1gF7RJpRnL-1oyjyeWxs5SFWEH7y8ahOZsQlyp2A2e-A/edit?usp=sharing"",""อุดรธานี"&amp;"!J84"")+IMPORTRANGE(""https://docs.google.com/spreadsheets/d/1kfLP0j3INXRa8bTDpcEmoWewMBV61jlFlfzczfjWIgc/edit?usp=sharing"",""อุบลราชธานี!J84"")"),0)</f>
        <v>0</v>
      </c>
      <c r="K111" s="191"/>
      <c r="L111" s="23"/>
      <c r="M111" s="23"/>
      <c r="N111" s="23"/>
      <c r="O111" s="23"/>
      <c r="P111" s="23"/>
    </row>
    <row r="112" spans="1:16" ht="18.75" hidden="1" x14ac:dyDescent="0.25">
      <c r="A112" s="184"/>
      <c r="B112" s="185"/>
      <c r="C112" s="185"/>
      <c r="D112" s="187"/>
      <c r="E112" s="200"/>
      <c r="F112" s="187"/>
      <c r="G112" s="188"/>
      <c r="H112" s="189"/>
      <c r="I112" s="190">
        <f ca="1">IFERROR(__xludf.DUMMYFUNCTION("IMPORTRANGE(""https://docs.google.com/spreadsheets/d/1yhBcrRPreicbMKl9Bu_Snb2-OcQAF62RKfhTLhJ2eAA/edit?usp=sharing"",""กาฬสินธุ์!I84"")+IMPORTRANGE(""https://docs.google.com/spreadsheets/d/1aHkj4IaQMThhwWwevcOymEh837vdxeC_PycurhTbGFA/edit?usp=sharing"","""&amp;"ขอนแก่น!I84"")+IMPORTRANGE(""https://docs.google.com/spreadsheets/d/1FvTu2DsIWUjP6WCWra38Bkj_oOl_sOMf14r5Fg5srxU/edit?usp=sharing"",""ชัยภูมิ!I84"")+IMPORTRANGE(""https://docs.google.com/spreadsheets/d/1XVB7oCJ3pr-vBUdflwPQ8Z2LlzhnCvZaaYjAfP-647E/edit?usp"&amp;"=sharing"",""นครพนม!I84"")+IMPORTRANGE(""https://docs.google.com/spreadsheets/d/1Mnpb-8PYAgn85W6KOTD40hc_Xc55CaLfHoGAbrZ8tls/edit?usp=sharing"",""นครราชสีมา!I84"")+IMPORTRANGE(""https://docs.google.com/spreadsheets/d/1xoDLGBv9CYbyosIhki0kTq6IpYNj-gpjxfobn"&amp;"aDiut0/edit?usp=sharing"",""บึงกาฬ!I84"")+IMPORTRANGE(""https://docs.google.com/spreadsheets/d/1MMPq-JyI6DSgQETxuSiXkesP-P7JHuemnE6QJIa-Nlw/edit?usp=sharing"",""บุรีรัมย์!I84"")+IMPORTRANGE(""https://docs.google.com/spreadsheets/d/1l6IZ8xUPgMrESzcTYwhA1k_"&amp;"tPjeQjJPTqlm8Gd9eU5g/edit?usp=sharing"",""มหาสารคาม!I84"")+IMPORTRANGE(""https://docs.google.com/spreadsheets/d/1uB74YLqNjWX6FObjekfB2NtSYigTQyR2rq9u4Ub2Sq4/edit?usp=sharing"",""มุกดาหาร!I84"")+IMPORTRANGE(""https://docs.google.com/spreadsheets/d/1NexK3ge"&amp;"CPxCTO1fzNF8dPec7yZyUx3OaWkFBC9HsQOo/edit?usp=sharing"",""ยโสธร!I84"")+IMPORTRANGE(""https://docs.google.com/spreadsheets/d/1v_cJrbBlyqmnHPReHk44g9NrMRdENNlSy_E_c5M9fIg/edit?usp=sharing"",""ร้อยเอ็ด!I84"")+IMPORTRANGE(""https://docs.google.com/spreadsheet"&amp;"s/d/1Ul4RCpCX66NxYADU1QpwAPjOmBzW64SsT11s1wzXw_c/edit?usp=sharing"",""เลย!I84"")+IMPORTRANGE(""https://docs.google.com/spreadsheets/d/1bRrNKwbHDVktQG10isr5vbWRtt5spIZPpkOSWgbT5ug/edit?usp=sharing"",""ศรีสะเกษ!I84"")+IMPORTRANGE(""https://docs.google.com/s"&amp;"preadsheets/d/17P34_Ow5kFBfdQD0qspb2UuPX5zpi6WMrQzslghyvrI/edit?usp=sharing"",""สกลนคร!I84"")+IMPORTRANGE(""https://docs.google.com/spreadsheets/d/1yswqbM3-AEpThF3ZSUa1AcmHnmRTF1vlJ1CZGcJ8YuU/edit?usp=sharing"",""สุรินทร์!I84"")+IMPORTRANGE(""https://docs"&amp;".google.com/spreadsheets/d/13JHU_EFbsQOUQ0JSQ3dWy1VTRosIWcDq6Nc99z2qzdc/edit?usp=sharing"",""หนองคาย!I84"")+IMPORTRANGE(""https://docs.google.com/spreadsheets/d/1Hx73zIEgVdDZZaYSTc46Dqv64atFhpr3GelxLbaIN8A/edit?usp=sharing"",""หนองบัวลำภู!I84"")+IMPORTRAN"&amp;"GE(""https://docs.google.com/spreadsheets/d/1lFxr3ctmjFN90yc-xV6jrQ9Ty8BKYVBWnAZ15wcNIJc/edit?usp=sharing"",""อำนาจเจริญ!I84"")+IMPORTRANGE(""https://docs.google.com/spreadsheets/d/1gF7RJpRnL-1oyjyeWxs5SFWEH7y8ahOZsQlyp2A2e-A/edit?usp=sharing"",""อุดรธานี"&amp;"!I84"")+IMPORTRANGE(""https://docs.google.com/spreadsheets/d/1kfLP0j3INXRa8bTDpcEmoWewMBV61jlFlfzczfjWIgc/edit?usp=sharing"",""อุบลราชธานี!I84"")"),0)</f>
        <v>0</v>
      </c>
      <c r="J112" s="199">
        <f ca="1">IFERROR(__xludf.DUMMYFUNCTION("IMPORTRANGE(""https://docs.google.com/spreadsheets/d/1yhBcrRPreicbMKl9Bu_Snb2-OcQAF62RKfhTLhJ2eAA/edit?usp=sharing"",""กาฬสินธุ์!J84"")+IMPORTRANGE(""https://docs.google.com/spreadsheets/d/1aHkj4IaQMThhwWwevcOymEh837vdxeC_PycurhTbGFA/edit?usp=sharing"","""&amp;"ขอนแก่น!J84"")+IMPORTRANGE(""https://docs.google.com/spreadsheets/d/1FvTu2DsIWUjP6WCWra38Bkj_oOl_sOMf14r5Fg5srxU/edit?usp=sharing"",""ชัยภูมิ!J84"")+IMPORTRANGE(""https://docs.google.com/spreadsheets/d/1XVB7oCJ3pr-vBUdflwPQ8Z2LlzhnCvZaaYjAfP-647E/edit?usp"&amp;"=sharing"",""นครพนม!J84"")+IMPORTRANGE(""https://docs.google.com/spreadsheets/d/1Mnpb-8PYAgn85W6KOTD40hc_Xc55CaLfHoGAbrZ8tls/edit?usp=sharing"",""นครราชสีมา!J84"")+IMPORTRANGE(""https://docs.google.com/spreadsheets/d/1xoDLGBv9CYbyosIhki0kTq6IpYNj-gpjxfobn"&amp;"aDiut0/edit?usp=sharing"",""บึงกาฬ!J84"")+IMPORTRANGE(""https://docs.google.com/spreadsheets/d/1MMPq-JyI6DSgQETxuSiXkesP-P7JHuemnE6QJIa-Nlw/edit?usp=sharing"",""บุรีรัมย์!J84"")+IMPORTRANGE(""https://docs.google.com/spreadsheets/d/1l6IZ8xUPgMrESzcTYwhA1k_"&amp;"tPjeQjJPTqlm8Gd9eU5g/edit?usp=sharing"",""มหาสารคาม!J84"")+IMPORTRANGE(""https://docs.google.com/spreadsheets/d/1uB74YLqNjWX6FObjekfB2NtSYigTQyR2rq9u4Ub2Sq4/edit?usp=sharing"",""มุกดาหาร!J84"")+IMPORTRANGE(""https://docs.google.com/spreadsheets/d/1NexK3ge"&amp;"CPxCTO1fzNF8dPec7yZyUx3OaWkFBC9HsQOo/edit?usp=sharing"",""ยโสธร!J84"")+IMPORTRANGE(""https://docs.google.com/spreadsheets/d/1v_cJrbBlyqmnHPReHk44g9NrMRdENNlSy_E_c5M9fIg/edit?usp=sharing"",""ร้อยเอ็ด!J84"")+IMPORTRANGE(""https://docs.google.com/spreadsheet"&amp;"s/d/1Ul4RCpCX66NxYADU1QpwAPjOmBzW64SsT11s1wzXw_c/edit?usp=sharing"",""เลย!J84"")+IMPORTRANGE(""https://docs.google.com/spreadsheets/d/1bRrNKwbHDVktQG10isr5vbWRtt5spIZPpkOSWgbT5ug/edit?usp=sharing"",""ศรีสะเกษ!J84"")+IMPORTRANGE(""https://docs.google.com/s"&amp;"preadsheets/d/17P34_Ow5kFBfdQD0qspb2UuPX5zpi6WMrQzslghyvrI/edit?usp=sharing"",""สกลนคร!J84"")+IMPORTRANGE(""https://docs.google.com/spreadsheets/d/1yswqbM3-AEpThF3ZSUa1AcmHnmRTF1vlJ1CZGcJ8YuU/edit?usp=sharing"",""สุรินทร์!J84"")+IMPORTRANGE(""https://docs"&amp;".google.com/spreadsheets/d/13JHU_EFbsQOUQ0JSQ3dWy1VTRosIWcDq6Nc99z2qzdc/edit?usp=sharing"",""หนองคาย!J84"")+IMPORTRANGE(""https://docs.google.com/spreadsheets/d/1Hx73zIEgVdDZZaYSTc46Dqv64atFhpr3GelxLbaIN8A/edit?usp=sharing"",""หนองบัวลำภู!J84"")+IMPORTRAN"&amp;"GE(""https://docs.google.com/spreadsheets/d/1lFxr3ctmjFN90yc-xV6jrQ9Ty8BKYVBWnAZ15wcNIJc/edit?usp=sharing"",""อำนาจเจริญ!J84"")+IMPORTRANGE(""https://docs.google.com/spreadsheets/d/1gF7RJpRnL-1oyjyeWxs5SFWEH7y8ahOZsQlyp2A2e-A/edit?usp=sharing"",""อุดรธานี"&amp;"!J84"")+IMPORTRANGE(""https://docs.google.com/spreadsheets/d/1kfLP0j3INXRa8bTDpcEmoWewMBV61jlFlfzczfjWIgc/edit?usp=sharing"",""อุบลราชธานี!J84"")"),0)</f>
        <v>0</v>
      </c>
      <c r="K112" s="191"/>
      <c r="L112" s="23"/>
      <c r="M112" s="23"/>
      <c r="N112" s="23"/>
      <c r="O112" s="23"/>
      <c r="P112" s="23"/>
    </row>
    <row r="113" spans="1:16" ht="19.5" hidden="1" x14ac:dyDescent="0.3">
      <c r="A113" s="184"/>
      <c r="B113" s="185"/>
      <c r="C113" s="185"/>
      <c r="D113" s="187"/>
      <c r="E113" s="195"/>
      <c r="F113" s="187"/>
      <c r="G113" s="188"/>
      <c r="H113" s="188"/>
      <c r="I113" s="196">
        <f ca="1">IFERROR(__xludf.DUMMYFUNCTION("IMPORTRANGE(""https://docs.google.com/spreadsheets/d/1yhBcrRPreicbMKl9Bu_Snb2-OcQAF62RKfhTLhJ2eAA/edit?usp=sharing"",""กาฬสินธุ์!I84"")+IMPORTRANGE(""https://docs.google.com/spreadsheets/d/1aHkj4IaQMThhwWwevcOymEh837vdxeC_PycurhTbGFA/edit?usp=sharing"","""&amp;"ขอนแก่น!I84"")+IMPORTRANGE(""https://docs.google.com/spreadsheets/d/1FvTu2DsIWUjP6WCWra38Bkj_oOl_sOMf14r5Fg5srxU/edit?usp=sharing"",""ชัยภูมิ!I84"")+IMPORTRANGE(""https://docs.google.com/spreadsheets/d/1XVB7oCJ3pr-vBUdflwPQ8Z2LlzhnCvZaaYjAfP-647E/edit?usp"&amp;"=sharing"",""นครพนม!I84"")+IMPORTRANGE(""https://docs.google.com/spreadsheets/d/1Mnpb-8PYAgn85W6KOTD40hc_Xc55CaLfHoGAbrZ8tls/edit?usp=sharing"",""นครราชสีมา!I84"")+IMPORTRANGE(""https://docs.google.com/spreadsheets/d/1xoDLGBv9CYbyosIhki0kTq6IpYNj-gpjxfobn"&amp;"aDiut0/edit?usp=sharing"",""บึงกาฬ!I84"")+IMPORTRANGE(""https://docs.google.com/spreadsheets/d/1MMPq-JyI6DSgQETxuSiXkesP-P7JHuemnE6QJIa-Nlw/edit?usp=sharing"",""บุรีรัมย์!I84"")+IMPORTRANGE(""https://docs.google.com/spreadsheets/d/1l6IZ8xUPgMrESzcTYwhA1k_"&amp;"tPjeQjJPTqlm8Gd9eU5g/edit?usp=sharing"",""มหาสารคาม!I84"")+IMPORTRANGE(""https://docs.google.com/spreadsheets/d/1uB74YLqNjWX6FObjekfB2NtSYigTQyR2rq9u4Ub2Sq4/edit?usp=sharing"",""มุกดาหาร!I84"")+IMPORTRANGE(""https://docs.google.com/spreadsheets/d/1NexK3ge"&amp;"CPxCTO1fzNF8dPec7yZyUx3OaWkFBC9HsQOo/edit?usp=sharing"",""ยโสธร!I84"")+IMPORTRANGE(""https://docs.google.com/spreadsheets/d/1v_cJrbBlyqmnHPReHk44g9NrMRdENNlSy_E_c5M9fIg/edit?usp=sharing"",""ร้อยเอ็ด!I84"")+IMPORTRANGE(""https://docs.google.com/spreadsheet"&amp;"s/d/1Ul4RCpCX66NxYADU1QpwAPjOmBzW64SsT11s1wzXw_c/edit?usp=sharing"",""เลย!I84"")+IMPORTRANGE(""https://docs.google.com/spreadsheets/d/1bRrNKwbHDVktQG10isr5vbWRtt5spIZPpkOSWgbT5ug/edit?usp=sharing"",""ศรีสะเกษ!I84"")+IMPORTRANGE(""https://docs.google.com/s"&amp;"preadsheets/d/17P34_Ow5kFBfdQD0qspb2UuPX5zpi6WMrQzslghyvrI/edit?usp=sharing"",""สกลนคร!I84"")+IMPORTRANGE(""https://docs.google.com/spreadsheets/d/1yswqbM3-AEpThF3ZSUa1AcmHnmRTF1vlJ1CZGcJ8YuU/edit?usp=sharing"",""สุรินทร์!I84"")+IMPORTRANGE(""https://docs"&amp;".google.com/spreadsheets/d/13JHU_EFbsQOUQ0JSQ3dWy1VTRosIWcDq6Nc99z2qzdc/edit?usp=sharing"",""หนองคาย!I84"")+IMPORTRANGE(""https://docs.google.com/spreadsheets/d/1Hx73zIEgVdDZZaYSTc46Dqv64atFhpr3GelxLbaIN8A/edit?usp=sharing"",""หนองบัวลำภู!I84"")+IMPORTRAN"&amp;"GE(""https://docs.google.com/spreadsheets/d/1lFxr3ctmjFN90yc-xV6jrQ9Ty8BKYVBWnAZ15wcNIJc/edit?usp=sharing"",""อำนาจเจริญ!I84"")+IMPORTRANGE(""https://docs.google.com/spreadsheets/d/1gF7RJpRnL-1oyjyeWxs5SFWEH7y8ahOZsQlyp2A2e-A/edit?usp=sharing"",""อุดรธานี"&amp;"!I84"")+IMPORTRANGE(""https://docs.google.com/spreadsheets/d/1kfLP0j3INXRa8bTDpcEmoWewMBV61jlFlfzczfjWIgc/edit?usp=sharing"",""อุบลราชธานี!I84"")"),0)</f>
        <v>0</v>
      </c>
      <c r="J113" s="197">
        <f ca="1">IFERROR(__xludf.DUMMYFUNCTION("IMPORTRANGE(""https://docs.google.com/spreadsheets/d/1yhBcrRPreicbMKl9Bu_Snb2-OcQAF62RKfhTLhJ2eAA/edit?usp=sharing"",""กาฬสินธุ์!J84"")+IMPORTRANGE(""https://docs.google.com/spreadsheets/d/1aHkj4IaQMThhwWwevcOymEh837vdxeC_PycurhTbGFA/edit?usp=sharing"","""&amp;"ขอนแก่น!J84"")+IMPORTRANGE(""https://docs.google.com/spreadsheets/d/1FvTu2DsIWUjP6WCWra38Bkj_oOl_sOMf14r5Fg5srxU/edit?usp=sharing"",""ชัยภูมิ!J84"")+IMPORTRANGE(""https://docs.google.com/spreadsheets/d/1XVB7oCJ3pr-vBUdflwPQ8Z2LlzhnCvZaaYjAfP-647E/edit?usp"&amp;"=sharing"",""นครพนม!J84"")+IMPORTRANGE(""https://docs.google.com/spreadsheets/d/1Mnpb-8PYAgn85W6KOTD40hc_Xc55CaLfHoGAbrZ8tls/edit?usp=sharing"",""นครราชสีมา!J84"")+IMPORTRANGE(""https://docs.google.com/spreadsheets/d/1xoDLGBv9CYbyosIhki0kTq6IpYNj-gpjxfobn"&amp;"aDiut0/edit?usp=sharing"",""บึงกาฬ!J84"")+IMPORTRANGE(""https://docs.google.com/spreadsheets/d/1MMPq-JyI6DSgQETxuSiXkesP-P7JHuemnE6QJIa-Nlw/edit?usp=sharing"",""บุรีรัมย์!J84"")+IMPORTRANGE(""https://docs.google.com/spreadsheets/d/1l6IZ8xUPgMrESzcTYwhA1k_"&amp;"tPjeQjJPTqlm8Gd9eU5g/edit?usp=sharing"",""มหาสารคาม!J84"")+IMPORTRANGE(""https://docs.google.com/spreadsheets/d/1uB74YLqNjWX6FObjekfB2NtSYigTQyR2rq9u4Ub2Sq4/edit?usp=sharing"",""มุกดาหาร!J84"")+IMPORTRANGE(""https://docs.google.com/spreadsheets/d/1NexK3ge"&amp;"CPxCTO1fzNF8dPec7yZyUx3OaWkFBC9HsQOo/edit?usp=sharing"",""ยโสธร!J84"")+IMPORTRANGE(""https://docs.google.com/spreadsheets/d/1v_cJrbBlyqmnHPReHk44g9NrMRdENNlSy_E_c5M9fIg/edit?usp=sharing"",""ร้อยเอ็ด!J84"")+IMPORTRANGE(""https://docs.google.com/spreadsheet"&amp;"s/d/1Ul4RCpCX66NxYADU1QpwAPjOmBzW64SsT11s1wzXw_c/edit?usp=sharing"",""เลย!J84"")+IMPORTRANGE(""https://docs.google.com/spreadsheets/d/1bRrNKwbHDVktQG10isr5vbWRtt5spIZPpkOSWgbT5ug/edit?usp=sharing"",""ศรีสะเกษ!J84"")+IMPORTRANGE(""https://docs.google.com/s"&amp;"preadsheets/d/17P34_Ow5kFBfdQD0qspb2UuPX5zpi6WMrQzslghyvrI/edit?usp=sharing"",""สกลนคร!J84"")+IMPORTRANGE(""https://docs.google.com/spreadsheets/d/1yswqbM3-AEpThF3ZSUa1AcmHnmRTF1vlJ1CZGcJ8YuU/edit?usp=sharing"",""สุรินทร์!J84"")+IMPORTRANGE(""https://docs"&amp;".google.com/spreadsheets/d/13JHU_EFbsQOUQ0JSQ3dWy1VTRosIWcDq6Nc99z2qzdc/edit?usp=sharing"",""หนองคาย!J84"")+IMPORTRANGE(""https://docs.google.com/spreadsheets/d/1Hx73zIEgVdDZZaYSTc46Dqv64atFhpr3GelxLbaIN8A/edit?usp=sharing"",""หนองบัวลำภู!J84"")+IMPORTRAN"&amp;"GE(""https://docs.google.com/spreadsheets/d/1lFxr3ctmjFN90yc-xV6jrQ9Ty8BKYVBWnAZ15wcNIJc/edit?usp=sharing"",""อำนาจเจริญ!J84"")+IMPORTRANGE(""https://docs.google.com/spreadsheets/d/1gF7RJpRnL-1oyjyeWxs5SFWEH7y8ahOZsQlyp2A2e-A/edit?usp=sharing"",""อุดรธานี"&amp;"!J84"")+IMPORTRANGE(""https://docs.google.com/spreadsheets/d/1kfLP0j3INXRa8bTDpcEmoWewMBV61jlFlfzczfjWIgc/edit?usp=sharing"",""อุบลราชธานี!J84"")"),0)</f>
        <v>0</v>
      </c>
      <c r="K113" s="198"/>
      <c r="L113" s="23"/>
      <c r="M113" s="23"/>
      <c r="N113" s="23"/>
      <c r="O113" s="23"/>
      <c r="P113" s="23"/>
    </row>
    <row r="114" spans="1:16" ht="18.75" hidden="1" x14ac:dyDescent="0.25">
      <c r="A114" s="184"/>
      <c r="B114" s="185"/>
      <c r="C114" s="185"/>
      <c r="D114" s="187"/>
      <c r="E114" s="186"/>
      <c r="F114" s="187"/>
      <c r="G114" s="188"/>
      <c r="H114" s="189"/>
      <c r="I114" s="190">
        <f ca="1">IFERROR(__xludf.DUMMYFUNCTION("IMPORTRANGE(""https://docs.google.com/spreadsheets/d/1yhBcrRPreicbMKl9Bu_Snb2-OcQAF62RKfhTLhJ2eAA/edit?usp=sharing"",""กาฬสินธุ์!I84"")+IMPORTRANGE(""https://docs.google.com/spreadsheets/d/1aHkj4IaQMThhwWwevcOymEh837vdxeC_PycurhTbGFA/edit?usp=sharing"","""&amp;"ขอนแก่น!I84"")+IMPORTRANGE(""https://docs.google.com/spreadsheets/d/1FvTu2DsIWUjP6WCWra38Bkj_oOl_sOMf14r5Fg5srxU/edit?usp=sharing"",""ชัยภูมิ!I84"")+IMPORTRANGE(""https://docs.google.com/spreadsheets/d/1XVB7oCJ3pr-vBUdflwPQ8Z2LlzhnCvZaaYjAfP-647E/edit?usp"&amp;"=sharing"",""นครพนม!I84"")+IMPORTRANGE(""https://docs.google.com/spreadsheets/d/1Mnpb-8PYAgn85W6KOTD40hc_Xc55CaLfHoGAbrZ8tls/edit?usp=sharing"",""นครราชสีมา!I84"")+IMPORTRANGE(""https://docs.google.com/spreadsheets/d/1xoDLGBv9CYbyosIhki0kTq6IpYNj-gpjxfobn"&amp;"aDiut0/edit?usp=sharing"",""บึงกาฬ!I84"")+IMPORTRANGE(""https://docs.google.com/spreadsheets/d/1MMPq-JyI6DSgQETxuSiXkesP-P7JHuemnE6QJIa-Nlw/edit?usp=sharing"",""บุรีรัมย์!I84"")+IMPORTRANGE(""https://docs.google.com/spreadsheets/d/1l6IZ8xUPgMrESzcTYwhA1k_"&amp;"tPjeQjJPTqlm8Gd9eU5g/edit?usp=sharing"",""มหาสารคาม!I84"")+IMPORTRANGE(""https://docs.google.com/spreadsheets/d/1uB74YLqNjWX6FObjekfB2NtSYigTQyR2rq9u4Ub2Sq4/edit?usp=sharing"",""มุกดาหาร!I84"")+IMPORTRANGE(""https://docs.google.com/spreadsheets/d/1NexK3ge"&amp;"CPxCTO1fzNF8dPec7yZyUx3OaWkFBC9HsQOo/edit?usp=sharing"",""ยโสธร!I84"")+IMPORTRANGE(""https://docs.google.com/spreadsheets/d/1v_cJrbBlyqmnHPReHk44g9NrMRdENNlSy_E_c5M9fIg/edit?usp=sharing"",""ร้อยเอ็ด!I84"")+IMPORTRANGE(""https://docs.google.com/spreadsheet"&amp;"s/d/1Ul4RCpCX66NxYADU1QpwAPjOmBzW64SsT11s1wzXw_c/edit?usp=sharing"",""เลย!I84"")+IMPORTRANGE(""https://docs.google.com/spreadsheets/d/1bRrNKwbHDVktQG10isr5vbWRtt5spIZPpkOSWgbT5ug/edit?usp=sharing"",""ศรีสะเกษ!I84"")+IMPORTRANGE(""https://docs.google.com/s"&amp;"preadsheets/d/17P34_Ow5kFBfdQD0qspb2UuPX5zpi6WMrQzslghyvrI/edit?usp=sharing"",""สกลนคร!I84"")+IMPORTRANGE(""https://docs.google.com/spreadsheets/d/1yswqbM3-AEpThF3ZSUa1AcmHnmRTF1vlJ1CZGcJ8YuU/edit?usp=sharing"",""สุรินทร์!I84"")+IMPORTRANGE(""https://docs"&amp;".google.com/spreadsheets/d/13JHU_EFbsQOUQ0JSQ3dWy1VTRosIWcDq6Nc99z2qzdc/edit?usp=sharing"",""หนองคาย!I84"")+IMPORTRANGE(""https://docs.google.com/spreadsheets/d/1Hx73zIEgVdDZZaYSTc46Dqv64atFhpr3GelxLbaIN8A/edit?usp=sharing"",""หนองบัวลำภู!I84"")+IMPORTRAN"&amp;"GE(""https://docs.google.com/spreadsheets/d/1lFxr3ctmjFN90yc-xV6jrQ9Ty8BKYVBWnAZ15wcNIJc/edit?usp=sharing"",""อำนาจเจริญ!I84"")+IMPORTRANGE(""https://docs.google.com/spreadsheets/d/1gF7RJpRnL-1oyjyeWxs5SFWEH7y8ahOZsQlyp2A2e-A/edit?usp=sharing"",""อุดรธานี"&amp;"!I84"")+IMPORTRANGE(""https://docs.google.com/spreadsheets/d/1kfLP0j3INXRa8bTDpcEmoWewMBV61jlFlfzczfjWIgc/edit?usp=sharing"",""อุบลราชธานี!I84"")"),0)</f>
        <v>0</v>
      </c>
      <c r="J114" s="199">
        <f ca="1">IFERROR(__xludf.DUMMYFUNCTION("IMPORTRANGE(""https://docs.google.com/spreadsheets/d/1yhBcrRPreicbMKl9Bu_Snb2-OcQAF62RKfhTLhJ2eAA/edit?usp=sharing"",""กาฬสินธุ์!J84"")+IMPORTRANGE(""https://docs.google.com/spreadsheets/d/1aHkj4IaQMThhwWwevcOymEh837vdxeC_PycurhTbGFA/edit?usp=sharing"","""&amp;"ขอนแก่น!J84"")+IMPORTRANGE(""https://docs.google.com/spreadsheets/d/1FvTu2DsIWUjP6WCWra38Bkj_oOl_sOMf14r5Fg5srxU/edit?usp=sharing"",""ชัยภูมิ!J84"")+IMPORTRANGE(""https://docs.google.com/spreadsheets/d/1XVB7oCJ3pr-vBUdflwPQ8Z2LlzhnCvZaaYjAfP-647E/edit?usp"&amp;"=sharing"",""นครพนม!J84"")+IMPORTRANGE(""https://docs.google.com/spreadsheets/d/1Mnpb-8PYAgn85W6KOTD40hc_Xc55CaLfHoGAbrZ8tls/edit?usp=sharing"",""นครราชสีมา!J84"")+IMPORTRANGE(""https://docs.google.com/spreadsheets/d/1xoDLGBv9CYbyosIhki0kTq6IpYNj-gpjxfobn"&amp;"aDiut0/edit?usp=sharing"",""บึงกาฬ!J84"")+IMPORTRANGE(""https://docs.google.com/spreadsheets/d/1MMPq-JyI6DSgQETxuSiXkesP-P7JHuemnE6QJIa-Nlw/edit?usp=sharing"",""บุรีรัมย์!J84"")+IMPORTRANGE(""https://docs.google.com/spreadsheets/d/1l6IZ8xUPgMrESzcTYwhA1k_"&amp;"tPjeQjJPTqlm8Gd9eU5g/edit?usp=sharing"",""มหาสารคาม!J84"")+IMPORTRANGE(""https://docs.google.com/spreadsheets/d/1uB74YLqNjWX6FObjekfB2NtSYigTQyR2rq9u4Ub2Sq4/edit?usp=sharing"",""มุกดาหาร!J84"")+IMPORTRANGE(""https://docs.google.com/spreadsheets/d/1NexK3ge"&amp;"CPxCTO1fzNF8dPec7yZyUx3OaWkFBC9HsQOo/edit?usp=sharing"",""ยโสธร!J84"")+IMPORTRANGE(""https://docs.google.com/spreadsheets/d/1v_cJrbBlyqmnHPReHk44g9NrMRdENNlSy_E_c5M9fIg/edit?usp=sharing"",""ร้อยเอ็ด!J84"")+IMPORTRANGE(""https://docs.google.com/spreadsheet"&amp;"s/d/1Ul4RCpCX66NxYADU1QpwAPjOmBzW64SsT11s1wzXw_c/edit?usp=sharing"",""เลย!J84"")+IMPORTRANGE(""https://docs.google.com/spreadsheets/d/1bRrNKwbHDVktQG10isr5vbWRtt5spIZPpkOSWgbT5ug/edit?usp=sharing"",""ศรีสะเกษ!J84"")+IMPORTRANGE(""https://docs.google.com/s"&amp;"preadsheets/d/17P34_Ow5kFBfdQD0qspb2UuPX5zpi6WMrQzslghyvrI/edit?usp=sharing"",""สกลนคร!J84"")+IMPORTRANGE(""https://docs.google.com/spreadsheets/d/1yswqbM3-AEpThF3ZSUa1AcmHnmRTF1vlJ1CZGcJ8YuU/edit?usp=sharing"",""สุรินทร์!J84"")+IMPORTRANGE(""https://docs"&amp;".google.com/spreadsheets/d/13JHU_EFbsQOUQ0JSQ3dWy1VTRosIWcDq6Nc99z2qzdc/edit?usp=sharing"",""หนองคาย!J84"")+IMPORTRANGE(""https://docs.google.com/spreadsheets/d/1Hx73zIEgVdDZZaYSTc46Dqv64atFhpr3GelxLbaIN8A/edit?usp=sharing"",""หนองบัวลำภู!J84"")+IMPORTRAN"&amp;"GE(""https://docs.google.com/spreadsheets/d/1lFxr3ctmjFN90yc-xV6jrQ9Ty8BKYVBWnAZ15wcNIJc/edit?usp=sharing"",""อำนาจเจริญ!J84"")+IMPORTRANGE(""https://docs.google.com/spreadsheets/d/1gF7RJpRnL-1oyjyeWxs5SFWEH7y8ahOZsQlyp2A2e-A/edit?usp=sharing"",""อุดรธานี"&amp;"!J84"")+IMPORTRANGE(""https://docs.google.com/spreadsheets/d/1kfLP0j3INXRa8bTDpcEmoWewMBV61jlFlfzczfjWIgc/edit?usp=sharing"",""อุบลราชธานี!J84"")"),0)</f>
        <v>0</v>
      </c>
      <c r="K114" s="191"/>
      <c r="L114" s="23"/>
      <c r="M114" s="23"/>
      <c r="N114" s="23"/>
      <c r="O114" s="23"/>
      <c r="P114" s="23"/>
    </row>
    <row r="115" spans="1:16" ht="18.75" hidden="1" x14ac:dyDescent="0.25">
      <c r="A115" s="184"/>
      <c r="B115" s="185"/>
      <c r="C115" s="185"/>
      <c r="D115" s="187"/>
      <c r="E115" s="201"/>
      <c r="F115" s="187"/>
      <c r="G115" s="188"/>
      <c r="H115" s="189"/>
      <c r="I115" s="190">
        <f ca="1">IFERROR(__xludf.DUMMYFUNCTION("IMPORTRANGE(""https://docs.google.com/spreadsheets/d/1yhBcrRPreicbMKl9Bu_Snb2-OcQAF62RKfhTLhJ2eAA/edit?usp=sharing"",""กาฬสินธุ์!I84"")+IMPORTRANGE(""https://docs.google.com/spreadsheets/d/1aHkj4IaQMThhwWwevcOymEh837vdxeC_PycurhTbGFA/edit?usp=sharing"","""&amp;"ขอนแก่น!I84"")+IMPORTRANGE(""https://docs.google.com/spreadsheets/d/1FvTu2DsIWUjP6WCWra38Bkj_oOl_sOMf14r5Fg5srxU/edit?usp=sharing"",""ชัยภูมิ!I84"")+IMPORTRANGE(""https://docs.google.com/spreadsheets/d/1XVB7oCJ3pr-vBUdflwPQ8Z2LlzhnCvZaaYjAfP-647E/edit?usp"&amp;"=sharing"",""นครพนม!I84"")+IMPORTRANGE(""https://docs.google.com/spreadsheets/d/1Mnpb-8PYAgn85W6KOTD40hc_Xc55CaLfHoGAbrZ8tls/edit?usp=sharing"",""นครราชสีมา!I84"")+IMPORTRANGE(""https://docs.google.com/spreadsheets/d/1xoDLGBv9CYbyosIhki0kTq6IpYNj-gpjxfobn"&amp;"aDiut0/edit?usp=sharing"",""บึงกาฬ!I84"")+IMPORTRANGE(""https://docs.google.com/spreadsheets/d/1MMPq-JyI6DSgQETxuSiXkesP-P7JHuemnE6QJIa-Nlw/edit?usp=sharing"",""บุรีรัมย์!I84"")+IMPORTRANGE(""https://docs.google.com/spreadsheets/d/1l6IZ8xUPgMrESzcTYwhA1k_"&amp;"tPjeQjJPTqlm8Gd9eU5g/edit?usp=sharing"",""มหาสารคาม!I84"")+IMPORTRANGE(""https://docs.google.com/spreadsheets/d/1uB74YLqNjWX6FObjekfB2NtSYigTQyR2rq9u4Ub2Sq4/edit?usp=sharing"",""มุกดาหาร!I84"")+IMPORTRANGE(""https://docs.google.com/spreadsheets/d/1NexK3ge"&amp;"CPxCTO1fzNF8dPec7yZyUx3OaWkFBC9HsQOo/edit?usp=sharing"",""ยโสธร!I84"")+IMPORTRANGE(""https://docs.google.com/spreadsheets/d/1v_cJrbBlyqmnHPReHk44g9NrMRdENNlSy_E_c5M9fIg/edit?usp=sharing"",""ร้อยเอ็ด!I84"")+IMPORTRANGE(""https://docs.google.com/spreadsheet"&amp;"s/d/1Ul4RCpCX66NxYADU1QpwAPjOmBzW64SsT11s1wzXw_c/edit?usp=sharing"",""เลย!I84"")+IMPORTRANGE(""https://docs.google.com/spreadsheets/d/1bRrNKwbHDVktQG10isr5vbWRtt5spIZPpkOSWgbT5ug/edit?usp=sharing"",""ศรีสะเกษ!I84"")+IMPORTRANGE(""https://docs.google.com/s"&amp;"preadsheets/d/17P34_Ow5kFBfdQD0qspb2UuPX5zpi6WMrQzslghyvrI/edit?usp=sharing"",""สกลนคร!I84"")+IMPORTRANGE(""https://docs.google.com/spreadsheets/d/1yswqbM3-AEpThF3ZSUa1AcmHnmRTF1vlJ1CZGcJ8YuU/edit?usp=sharing"",""สุรินทร์!I84"")+IMPORTRANGE(""https://docs"&amp;".google.com/spreadsheets/d/13JHU_EFbsQOUQ0JSQ3dWy1VTRosIWcDq6Nc99z2qzdc/edit?usp=sharing"",""หนองคาย!I84"")+IMPORTRANGE(""https://docs.google.com/spreadsheets/d/1Hx73zIEgVdDZZaYSTc46Dqv64atFhpr3GelxLbaIN8A/edit?usp=sharing"",""หนองบัวลำภู!I84"")+IMPORTRAN"&amp;"GE(""https://docs.google.com/spreadsheets/d/1lFxr3ctmjFN90yc-xV6jrQ9Ty8BKYVBWnAZ15wcNIJc/edit?usp=sharing"",""อำนาจเจริญ!I84"")+IMPORTRANGE(""https://docs.google.com/spreadsheets/d/1gF7RJpRnL-1oyjyeWxs5SFWEH7y8ahOZsQlyp2A2e-A/edit?usp=sharing"",""อุดรธานี"&amp;"!I84"")+IMPORTRANGE(""https://docs.google.com/spreadsheets/d/1kfLP0j3INXRa8bTDpcEmoWewMBV61jlFlfzczfjWIgc/edit?usp=sharing"",""อุบลราชธานี!I84"")"),0)</f>
        <v>0</v>
      </c>
      <c r="J115" s="199">
        <f ca="1">IFERROR(__xludf.DUMMYFUNCTION("IMPORTRANGE(""https://docs.google.com/spreadsheets/d/1yhBcrRPreicbMKl9Bu_Snb2-OcQAF62RKfhTLhJ2eAA/edit?usp=sharing"",""กาฬสินธุ์!J84"")+IMPORTRANGE(""https://docs.google.com/spreadsheets/d/1aHkj4IaQMThhwWwevcOymEh837vdxeC_PycurhTbGFA/edit?usp=sharing"","""&amp;"ขอนแก่น!J84"")+IMPORTRANGE(""https://docs.google.com/spreadsheets/d/1FvTu2DsIWUjP6WCWra38Bkj_oOl_sOMf14r5Fg5srxU/edit?usp=sharing"",""ชัยภูมิ!J84"")+IMPORTRANGE(""https://docs.google.com/spreadsheets/d/1XVB7oCJ3pr-vBUdflwPQ8Z2LlzhnCvZaaYjAfP-647E/edit?usp"&amp;"=sharing"",""นครพนม!J84"")+IMPORTRANGE(""https://docs.google.com/spreadsheets/d/1Mnpb-8PYAgn85W6KOTD40hc_Xc55CaLfHoGAbrZ8tls/edit?usp=sharing"",""นครราชสีมา!J84"")+IMPORTRANGE(""https://docs.google.com/spreadsheets/d/1xoDLGBv9CYbyosIhki0kTq6IpYNj-gpjxfobn"&amp;"aDiut0/edit?usp=sharing"",""บึงกาฬ!J84"")+IMPORTRANGE(""https://docs.google.com/spreadsheets/d/1MMPq-JyI6DSgQETxuSiXkesP-P7JHuemnE6QJIa-Nlw/edit?usp=sharing"",""บุรีรัมย์!J84"")+IMPORTRANGE(""https://docs.google.com/spreadsheets/d/1l6IZ8xUPgMrESzcTYwhA1k_"&amp;"tPjeQjJPTqlm8Gd9eU5g/edit?usp=sharing"",""มหาสารคาม!J84"")+IMPORTRANGE(""https://docs.google.com/spreadsheets/d/1uB74YLqNjWX6FObjekfB2NtSYigTQyR2rq9u4Ub2Sq4/edit?usp=sharing"",""มุกดาหาร!J84"")+IMPORTRANGE(""https://docs.google.com/spreadsheets/d/1NexK3ge"&amp;"CPxCTO1fzNF8dPec7yZyUx3OaWkFBC9HsQOo/edit?usp=sharing"",""ยโสธร!J84"")+IMPORTRANGE(""https://docs.google.com/spreadsheets/d/1v_cJrbBlyqmnHPReHk44g9NrMRdENNlSy_E_c5M9fIg/edit?usp=sharing"",""ร้อยเอ็ด!J84"")+IMPORTRANGE(""https://docs.google.com/spreadsheet"&amp;"s/d/1Ul4RCpCX66NxYADU1QpwAPjOmBzW64SsT11s1wzXw_c/edit?usp=sharing"",""เลย!J84"")+IMPORTRANGE(""https://docs.google.com/spreadsheets/d/1bRrNKwbHDVktQG10isr5vbWRtt5spIZPpkOSWgbT5ug/edit?usp=sharing"",""ศรีสะเกษ!J84"")+IMPORTRANGE(""https://docs.google.com/s"&amp;"preadsheets/d/17P34_Ow5kFBfdQD0qspb2UuPX5zpi6WMrQzslghyvrI/edit?usp=sharing"",""สกลนคร!J84"")+IMPORTRANGE(""https://docs.google.com/spreadsheets/d/1yswqbM3-AEpThF3ZSUa1AcmHnmRTF1vlJ1CZGcJ8YuU/edit?usp=sharing"",""สุรินทร์!J84"")+IMPORTRANGE(""https://docs"&amp;".google.com/spreadsheets/d/13JHU_EFbsQOUQ0JSQ3dWy1VTRosIWcDq6Nc99z2qzdc/edit?usp=sharing"",""หนองคาย!J84"")+IMPORTRANGE(""https://docs.google.com/spreadsheets/d/1Hx73zIEgVdDZZaYSTc46Dqv64atFhpr3GelxLbaIN8A/edit?usp=sharing"",""หนองบัวลำภู!J84"")+IMPORTRAN"&amp;"GE(""https://docs.google.com/spreadsheets/d/1lFxr3ctmjFN90yc-xV6jrQ9Ty8BKYVBWnAZ15wcNIJc/edit?usp=sharing"",""อำนาจเจริญ!J84"")+IMPORTRANGE(""https://docs.google.com/spreadsheets/d/1gF7RJpRnL-1oyjyeWxs5SFWEH7y8ahOZsQlyp2A2e-A/edit?usp=sharing"",""อุดรธานี"&amp;"!J84"")+IMPORTRANGE(""https://docs.google.com/spreadsheets/d/1kfLP0j3INXRa8bTDpcEmoWewMBV61jlFlfzczfjWIgc/edit?usp=sharing"",""อุบลราชธานี!J84"")"),0)</f>
        <v>0</v>
      </c>
      <c r="K115" s="191"/>
      <c r="L115" s="23"/>
      <c r="M115" s="23"/>
      <c r="N115" s="23"/>
      <c r="O115" s="23"/>
      <c r="P115" s="23"/>
    </row>
    <row r="116" spans="1:16" ht="18.75" hidden="1" x14ac:dyDescent="0.25">
      <c r="A116" s="184"/>
      <c r="B116" s="185"/>
      <c r="C116" s="185"/>
      <c r="D116" s="187"/>
      <c r="E116" s="201"/>
      <c r="F116" s="187"/>
      <c r="G116" s="188"/>
      <c r="H116" s="189"/>
      <c r="I116" s="190">
        <f ca="1">IFERROR(__xludf.DUMMYFUNCTION("IMPORTRANGE(""https://docs.google.com/spreadsheets/d/1yhBcrRPreicbMKl9Bu_Snb2-OcQAF62RKfhTLhJ2eAA/edit?usp=sharing"",""กาฬสินธุ์!I84"")+IMPORTRANGE(""https://docs.google.com/spreadsheets/d/1aHkj4IaQMThhwWwevcOymEh837vdxeC_PycurhTbGFA/edit?usp=sharing"","""&amp;"ขอนแก่น!I84"")+IMPORTRANGE(""https://docs.google.com/spreadsheets/d/1FvTu2DsIWUjP6WCWra38Bkj_oOl_sOMf14r5Fg5srxU/edit?usp=sharing"",""ชัยภูมิ!I84"")+IMPORTRANGE(""https://docs.google.com/spreadsheets/d/1XVB7oCJ3pr-vBUdflwPQ8Z2LlzhnCvZaaYjAfP-647E/edit?usp"&amp;"=sharing"",""นครพนม!I84"")+IMPORTRANGE(""https://docs.google.com/spreadsheets/d/1Mnpb-8PYAgn85W6KOTD40hc_Xc55CaLfHoGAbrZ8tls/edit?usp=sharing"",""นครราชสีมา!I84"")+IMPORTRANGE(""https://docs.google.com/spreadsheets/d/1xoDLGBv9CYbyosIhki0kTq6IpYNj-gpjxfobn"&amp;"aDiut0/edit?usp=sharing"",""บึงกาฬ!I84"")+IMPORTRANGE(""https://docs.google.com/spreadsheets/d/1MMPq-JyI6DSgQETxuSiXkesP-P7JHuemnE6QJIa-Nlw/edit?usp=sharing"",""บุรีรัมย์!I84"")+IMPORTRANGE(""https://docs.google.com/spreadsheets/d/1l6IZ8xUPgMrESzcTYwhA1k_"&amp;"tPjeQjJPTqlm8Gd9eU5g/edit?usp=sharing"",""มหาสารคาม!I84"")+IMPORTRANGE(""https://docs.google.com/spreadsheets/d/1uB74YLqNjWX6FObjekfB2NtSYigTQyR2rq9u4Ub2Sq4/edit?usp=sharing"",""มุกดาหาร!I84"")+IMPORTRANGE(""https://docs.google.com/spreadsheets/d/1NexK3ge"&amp;"CPxCTO1fzNF8dPec7yZyUx3OaWkFBC9HsQOo/edit?usp=sharing"",""ยโสธร!I84"")+IMPORTRANGE(""https://docs.google.com/spreadsheets/d/1v_cJrbBlyqmnHPReHk44g9NrMRdENNlSy_E_c5M9fIg/edit?usp=sharing"",""ร้อยเอ็ด!I84"")+IMPORTRANGE(""https://docs.google.com/spreadsheet"&amp;"s/d/1Ul4RCpCX66NxYADU1QpwAPjOmBzW64SsT11s1wzXw_c/edit?usp=sharing"",""เลย!I84"")+IMPORTRANGE(""https://docs.google.com/spreadsheets/d/1bRrNKwbHDVktQG10isr5vbWRtt5spIZPpkOSWgbT5ug/edit?usp=sharing"",""ศรีสะเกษ!I84"")+IMPORTRANGE(""https://docs.google.com/s"&amp;"preadsheets/d/17P34_Ow5kFBfdQD0qspb2UuPX5zpi6WMrQzslghyvrI/edit?usp=sharing"",""สกลนคร!I84"")+IMPORTRANGE(""https://docs.google.com/spreadsheets/d/1yswqbM3-AEpThF3ZSUa1AcmHnmRTF1vlJ1CZGcJ8YuU/edit?usp=sharing"",""สุรินทร์!I84"")+IMPORTRANGE(""https://docs"&amp;".google.com/spreadsheets/d/13JHU_EFbsQOUQ0JSQ3dWy1VTRosIWcDq6Nc99z2qzdc/edit?usp=sharing"",""หนองคาย!I84"")+IMPORTRANGE(""https://docs.google.com/spreadsheets/d/1Hx73zIEgVdDZZaYSTc46Dqv64atFhpr3GelxLbaIN8A/edit?usp=sharing"",""หนองบัวลำภู!I84"")+IMPORTRAN"&amp;"GE(""https://docs.google.com/spreadsheets/d/1lFxr3ctmjFN90yc-xV6jrQ9Ty8BKYVBWnAZ15wcNIJc/edit?usp=sharing"",""อำนาจเจริญ!I84"")+IMPORTRANGE(""https://docs.google.com/spreadsheets/d/1gF7RJpRnL-1oyjyeWxs5SFWEH7y8ahOZsQlyp2A2e-A/edit?usp=sharing"",""อุดรธานี"&amp;"!I84"")+IMPORTRANGE(""https://docs.google.com/spreadsheets/d/1kfLP0j3INXRa8bTDpcEmoWewMBV61jlFlfzczfjWIgc/edit?usp=sharing"",""อุบลราชธานี!I84"")"),0)</f>
        <v>0</v>
      </c>
      <c r="J116" s="199">
        <f ca="1">IFERROR(__xludf.DUMMYFUNCTION("IMPORTRANGE(""https://docs.google.com/spreadsheets/d/1yhBcrRPreicbMKl9Bu_Snb2-OcQAF62RKfhTLhJ2eAA/edit?usp=sharing"",""กาฬสินธุ์!J84"")+IMPORTRANGE(""https://docs.google.com/spreadsheets/d/1aHkj4IaQMThhwWwevcOymEh837vdxeC_PycurhTbGFA/edit?usp=sharing"","""&amp;"ขอนแก่น!J84"")+IMPORTRANGE(""https://docs.google.com/spreadsheets/d/1FvTu2DsIWUjP6WCWra38Bkj_oOl_sOMf14r5Fg5srxU/edit?usp=sharing"",""ชัยภูมิ!J84"")+IMPORTRANGE(""https://docs.google.com/spreadsheets/d/1XVB7oCJ3pr-vBUdflwPQ8Z2LlzhnCvZaaYjAfP-647E/edit?usp"&amp;"=sharing"",""นครพนม!J84"")+IMPORTRANGE(""https://docs.google.com/spreadsheets/d/1Mnpb-8PYAgn85W6KOTD40hc_Xc55CaLfHoGAbrZ8tls/edit?usp=sharing"",""นครราชสีมา!J84"")+IMPORTRANGE(""https://docs.google.com/spreadsheets/d/1xoDLGBv9CYbyosIhki0kTq6IpYNj-gpjxfobn"&amp;"aDiut0/edit?usp=sharing"",""บึงกาฬ!J84"")+IMPORTRANGE(""https://docs.google.com/spreadsheets/d/1MMPq-JyI6DSgQETxuSiXkesP-P7JHuemnE6QJIa-Nlw/edit?usp=sharing"",""บุรีรัมย์!J84"")+IMPORTRANGE(""https://docs.google.com/spreadsheets/d/1l6IZ8xUPgMrESzcTYwhA1k_"&amp;"tPjeQjJPTqlm8Gd9eU5g/edit?usp=sharing"",""มหาสารคาม!J84"")+IMPORTRANGE(""https://docs.google.com/spreadsheets/d/1uB74YLqNjWX6FObjekfB2NtSYigTQyR2rq9u4Ub2Sq4/edit?usp=sharing"",""มุกดาหาร!J84"")+IMPORTRANGE(""https://docs.google.com/spreadsheets/d/1NexK3ge"&amp;"CPxCTO1fzNF8dPec7yZyUx3OaWkFBC9HsQOo/edit?usp=sharing"",""ยโสธร!J84"")+IMPORTRANGE(""https://docs.google.com/spreadsheets/d/1v_cJrbBlyqmnHPReHk44g9NrMRdENNlSy_E_c5M9fIg/edit?usp=sharing"",""ร้อยเอ็ด!J84"")+IMPORTRANGE(""https://docs.google.com/spreadsheet"&amp;"s/d/1Ul4RCpCX66NxYADU1QpwAPjOmBzW64SsT11s1wzXw_c/edit?usp=sharing"",""เลย!J84"")+IMPORTRANGE(""https://docs.google.com/spreadsheets/d/1bRrNKwbHDVktQG10isr5vbWRtt5spIZPpkOSWgbT5ug/edit?usp=sharing"",""ศรีสะเกษ!J84"")+IMPORTRANGE(""https://docs.google.com/s"&amp;"preadsheets/d/17P34_Ow5kFBfdQD0qspb2UuPX5zpi6WMrQzslghyvrI/edit?usp=sharing"",""สกลนคร!J84"")+IMPORTRANGE(""https://docs.google.com/spreadsheets/d/1yswqbM3-AEpThF3ZSUa1AcmHnmRTF1vlJ1CZGcJ8YuU/edit?usp=sharing"",""สุรินทร์!J84"")+IMPORTRANGE(""https://docs"&amp;".google.com/spreadsheets/d/13JHU_EFbsQOUQ0JSQ3dWy1VTRosIWcDq6Nc99z2qzdc/edit?usp=sharing"",""หนองคาย!J84"")+IMPORTRANGE(""https://docs.google.com/spreadsheets/d/1Hx73zIEgVdDZZaYSTc46Dqv64atFhpr3GelxLbaIN8A/edit?usp=sharing"",""หนองบัวลำภู!J84"")+IMPORTRAN"&amp;"GE(""https://docs.google.com/spreadsheets/d/1lFxr3ctmjFN90yc-xV6jrQ9Ty8BKYVBWnAZ15wcNIJc/edit?usp=sharing"",""อำนาจเจริญ!J84"")+IMPORTRANGE(""https://docs.google.com/spreadsheets/d/1gF7RJpRnL-1oyjyeWxs5SFWEH7y8ahOZsQlyp2A2e-A/edit?usp=sharing"",""อุดรธานี"&amp;"!J84"")+IMPORTRANGE(""https://docs.google.com/spreadsheets/d/1kfLP0j3INXRa8bTDpcEmoWewMBV61jlFlfzczfjWIgc/edit?usp=sharing"",""อุบลราชธานี!J84"")"),0)</f>
        <v>0</v>
      </c>
      <c r="K116" s="191"/>
      <c r="L116" s="23"/>
      <c r="M116" s="23"/>
      <c r="N116" s="23"/>
      <c r="O116" s="23"/>
      <c r="P116" s="23"/>
    </row>
    <row r="117" spans="1:16" ht="18.75" x14ac:dyDescent="0.25">
      <c r="A117" s="167"/>
      <c r="B117" s="168"/>
      <c r="C117" s="168"/>
      <c r="D117" s="193" t="s">
        <v>48</v>
      </c>
      <c r="E117" s="174"/>
      <c r="F117" s="174"/>
      <c r="G117" s="172"/>
      <c r="H117" s="179" t="s">
        <v>33</v>
      </c>
      <c r="I117" s="180">
        <f ca="1">IFERROR(__xludf.DUMMYFUNCTION("IMPORTRANGE(""https://docs.google.com/spreadsheets/d/1yhBcrRPreicbMKl9Bu_Snb2-OcQAF62RKfhTLhJ2eAA/edit?usp=sharing"",""กาฬสินธุ์!I117"")+IMPORTRANGE(""https://docs.google.com/spreadsheets/d/1aHkj4IaQMThhwWwevcOymEh837vdxeC_PycurhTbGFA/edit?usp=sharing"","&amp;"""ขอนแก่น!I117"")+IMPORTRANGE(""https://docs.google.com/spreadsheets/d/1FvTu2DsIWUjP6WCWra38Bkj_oOl_sOMf14r5Fg5srxU/edit?usp=sharing"",""ชัยภูมิ!I117"")+IMPORTRANGE(""https://docs.google.com/spreadsheets/d/1XVB7oCJ3pr-vBUdflwPQ8Z2LlzhnCvZaaYjAfP-647E/edit"&amp;"?usp=sharing"",""นครพนม!I117"")+IMPORTRANGE(""https://docs.google.com/spreadsheets/d/1Mnpb-8PYAgn85W6KOTD40hc_Xc55CaLfHoGAbrZ8tls/edit?usp=sharing"",""นครราชสีมา!I117"")+IMPORTRANGE(""https://docs.google.com/spreadsheets/d/1xoDLGBv9CYbyosIhki0kTq6IpYNj-gp"&amp;"jxfobnaDiut0/edit?usp=sharing"",""บึงกาฬ!I117"")+IMPORTRANGE(""https://docs.google.com/spreadsheets/d/1MMPq-JyI6DSgQETxuSiXkesP-P7JHuemnE6QJIa-Nlw/edit?usp=sharing"",""บุรีรัมย์!I117"")+IMPORTRANGE(""https://docs.google.com/spreadsheets/d/1l6IZ8xUPgMrESzc"&amp;"TYwhA1k_tPjeQjJPTqlm8Gd9eU5g/edit?usp=sharing"",""มหาสารคาม!I117"")+IMPORTRANGE(""https://docs.google.com/spreadsheets/d/1uB74YLqNjWX6FObjekfB2NtSYigTQyR2rq9u4Ub2Sq4/edit?usp=sharing"",""มุกดาหาร!I117"")+IMPORTRANGE(""https://docs.google.com/spreadsheets/"&amp;"d/1NexK3geCPxCTO1fzNF8dPec7yZyUx3OaWkFBC9HsQOo/edit?usp=sharing"",""ยโสธร!I117"")+IMPORTRANGE(""https://docs.google.com/spreadsheets/d/1v_cJrbBlyqmnHPReHk44g9NrMRdENNlSy_E_c5M9fIg/edit?usp=sharing"",""ร้อยเอ็ด!I117"")+IMPORTRANGE(""https://docs.google.com"&amp;"/spreadsheets/d/1Ul4RCpCX66NxYADU1QpwAPjOmBzW64SsT11s1wzXw_c/edit?usp=sharing"",""เลย!I117"")+IMPORTRANGE(""https://docs.google.com/spreadsheets/d/1bRrNKwbHDVktQG10isr5vbWRtt5spIZPpkOSWgbT5ug/edit?usp=sharing"",""ศรีสะเกษ!I117"")+IMPORTRANGE(""https://doc"&amp;"s.google.com/spreadsheets/d/17P34_Ow5kFBfdQD0qspb2UuPX5zpi6WMrQzslghyvrI/edit?usp=sharing"",""สกลนคร!I117"")+IMPORTRANGE(""https://docs.google.com/spreadsheets/d/1yswqbM3-AEpThF3ZSUa1AcmHnmRTF1vlJ1CZGcJ8YuU/edit?usp=sharing"",""สุรินทร์!I117"")+IMPORTRANG"&amp;"E(""https://docs.google.com/spreadsheets/d/13JHU_EFbsQOUQ0JSQ3dWy1VTRosIWcDq6Nc99z2qzdc/edit?usp=sharing"",""หนองคาย!I117"")+IMPORTRANGE(""https://docs.google.com/spreadsheets/d/1Hx73zIEgVdDZZaYSTc46Dqv64atFhpr3GelxLbaIN8A/edit?usp=sharing"",""หนองบัวลำภู"&amp;"!I117"")+IMPORTRANGE(""https://docs.google.com/spreadsheets/d/1lFxr3ctmjFN90yc-xV6jrQ9Ty8BKYVBWnAZ15wcNIJc/edit?usp=sharing"",""อำนาจเจริญ!I117"")+IMPORTRANGE(""https://docs.google.com/spreadsheets/d/1gF7RJpRnL-1oyjyeWxs5SFWEH7y8ahOZsQlyp2A2e-A/edit?usp=s"&amp;"haring"",""อุดรธานี!I117"")+IMPORTRANGE(""https://docs.google.com/spreadsheets/d/1kfLP0j3INXRa8bTDpcEmoWewMBV61jlFlfzczfjWIgc/edit?usp=sharing"",""อุบลราชธานี!I117"")"),83)</f>
        <v>83</v>
      </c>
      <c r="J117" s="181">
        <f ca="1">IFERROR(__xludf.DUMMYFUNCTION("IMPORTRANGE(""https://docs.google.com/spreadsheets/d/1yhBcrRPreicbMKl9Bu_Snb2-OcQAF62RKfhTLhJ2eAA/edit?usp=sharing"",""กาฬสินธุ์!J117"")+IMPORTRANGE(""https://docs.google.com/spreadsheets/d/1aHkj4IaQMThhwWwevcOymEh837vdxeC_PycurhTbGFA/edit?usp=sharing"","&amp;"""ขอนแก่น!J117"")+IMPORTRANGE(""https://docs.google.com/spreadsheets/d/1FvTu2DsIWUjP6WCWra38Bkj_oOl_sOMf14r5Fg5srxU/edit?usp=sharing"",""ชัยภูมิ!J117"")+IMPORTRANGE(""https://docs.google.com/spreadsheets/d/1XVB7oCJ3pr-vBUdflwPQ8Z2LlzhnCvZaaYjAfP-647E/edit"&amp;"?usp=sharing"",""นครพนม!J117"")+IMPORTRANGE(""https://docs.google.com/spreadsheets/d/1Mnpb-8PYAgn85W6KOTD40hc_Xc55CaLfHoGAbrZ8tls/edit?usp=sharing"",""นครราชสีมา!J117"")+IMPORTRANGE(""https://docs.google.com/spreadsheets/d/1xoDLGBv9CYbyosIhki0kTq6IpYNj-gp"&amp;"jxfobnaDiut0/edit?usp=sharing"",""บึงกาฬ!J117"")+IMPORTRANGE(""https://docs.google.com/spreadsheets/d/1MMPq-JyI6DSgQETxuSiXkesP-P7JHuemnE6QJIa-Nlw/edit?usp=sharing"",""บุรีรัมย์!J117"")+IMPORTRANGE(""https://docs.google.com/spreadsheets/d/1l6IZ8xUPgMrESzc"&amp;"TYwhA1k_tPjeQjJPTqlm8Gd9eU5g/edit?usp=sharing"",""มหาสารคาม!J117"")+IMPORTRANGE(""https://docs.google.com/spreadsheets/d/1uB74YLqNjWX6FObjekfB2NtSYigTQyR2rq9u4Ub2Sq4/edit?usp=sharing"",""มุกดาหาร!J117"")+IMPORTRANGE(""https://docs.google.com/spreadsheets/"&amp;"d/1NexK3geCPxCTO1fzNF8dPec7yZyUx3OaWkFBC9HsQOo/edit?usp=sharing"",""ยโสธร!J117"")+IMPORTRANGE(""https://docs.google.com/spreadsheets/d/1v_cJrbBlyqmnHPReHk44g9NrMRdENNlSy_E_c5M9fIg/edit?usp=sharing"",""ร้อยเอ็ด!J117"")+IMPORTRANGE(""https://docs.google.com"&amp;"/spreadsheets/d/1Ul4RCpCX66NxYADU1QpwAPjOmBzW64SsT11s1wzXw_c/edit?usp=sharing"",""เลย!J117"")+IMPORTRANGE(""https://docs.google.com/spreadsheets/d/1bRrNKwbHDVktQG10isr5vbWRtt5spIZPpkOSWgbT5ug/edit?usp=sharing"",""ศรีสะเกษ!J117"")+IMPORTRANGE(""https://doc"&amp;"s.google.com/spreadsheets/d/17P34_Ow5kFBfdQD0qspb2UuPX5zpi6WMrQzslghyvrI/edit?usp=sharing"",""สกลนคร!J117"")+IMPORTRANGE(""https://docs.google.com/spreadsheets/d/1yswqbM3-AEpThF3ZSUa1AcmHnmRTF1vlJ1CZGcJ8YuU/edit?usp=sharing"",""สุรินทร์!J117"")+IMPORTRANG"&amp;"E(""https://docs.google.com/spreadsheets/d/13JHU_EFbsQOUQ0JSQ3dWy1VTRosIWcDq6Nc99z2qzdc/edit?usp=sharing"",""หนองคาย!J117"")+IMPORTRANGE(""https://docs.google.com/spreadsheets/d/1Hx73zIEgVdDZZaYSTc46Dqv64atFhpr3GelxLbaIN8A/edit?usp=sharing"",""หนองบัวลำภู"&amp;"!J117"")+IMPORTRANGE(""https://docs.google.com/spreadsheets/d/1lFxr3ctmjFN90yc-xV6jrQ9Ty8BKYVBWnAZ15wcNIJc/edit?usp=sharing"",""อำนาจเจริญ!J117"")+IMPORTRANGE(""https://docs.google.com/spreadsheets/d/1gF7RJpRnL-1oyjyeWxs5SFWEH7y8ahOZsQlyp2A2e-A/edit?usp=s"&amp;"haring"",""อุดรธานี!J117"")+IMPORTRANGE(""https://docs.google.com/spreadsheets/d/1kfLP0j3INXRa8bTDpcEmoWewMBV61jlFlfzczfjWIgc/edit?usp=sharing"",""อุบลราชธานี!J117"")"),0)</f>
        <v>0</v>
      </c>
      <c r="K117" s="59">
        <f ca="1">IF(I117&gt;0,J117*100/I117,0)</f>
        <v>0</v>
      </c>
      <c r="L117" s="58"/>
      <c r="M117" s="58"/>
      <c r="N117" s="58"/>
      <c r="O117" s="165"/>
      <c r="P117" s="165"/>
    </row>
    <row r="118" spans="1:16" ht="19.5" hidden="1" x14ac:dyDescent="0.3">
      <c r="A118" s="184"/>
      <c r="B118" s="185"/>
      <c r="C118" s="185"/>
      <c r="D118" s="185"/>
      <c r="E118" s="187"/>
      <c r="F118" s="187"/>
      <c r="G118" s="188"/>
      <c r="H118" s="202"/>
      <c r="I118" s="203"/>
      <c r="J118" s="203"/>
      <c r="K118" s="204"/>
      <c r="L118" s="23"/>
      <c r="M118" s="23"/>
      <c r="N118" s="23"/>
      <c r="O118" s="23"/>
      <c r="P118" s="23"/>
    </row>
    <row r="119" spans="1:16" ht="18.75" hidden="1" x14ac:dyDescent="0.25">
      <c r="A119" s="184"/>
      <c r="B119" s="185"/>
      <c r="C119" s="185"/>
      <c r="D119" s="185"/>
      <c r="E119" s="186"/>
      <c r="F119" s="187"/>
      <c r="G119" s="188"/>
      <c r="H119" s="189"/>
      <c r="I119" s="190"/>
      <c r="J119" s="190"/>
      <c r="K119" s="191"/>
      <c r="L119" s="23"/>
      <c r="M119" s="23"/>
      <c r="N119" s="23"/>
      <c r="O119" s="23"/>
      <c r="P119" s="23"/>
    </row>
    <row r="120" spans="1:16" ht="18.75" hidden="1" x14ac:dyDescent="0.25">
      <c r="A120" s="184"/>
      <c r="B120" s="185"/>
      <c r="C120" s="185"/>
      <c r="D120" s="185"/>
      <c r="E120" s="186"/>
      <c r="F120" s="187"/>
      <c r="G120" s="188"/>
      <c r="H120" s="189"/>
      <c r="I120" s="190"/>
      <c r="J120" s="190"/>
      <c r="K120" s="191"/>
      <c r="L120" s="23"/>
      <c r="M120" s="23"/>
      <c r="N120" s="23"/>
      <c r="O120" s="23"/>
      <c r="P120" s="23"/>
    </row>
    <row r="121" spans="1:16" ht="18.75" hidden="1" x14ac:dyDescent="0.25">
      <c r="A121" s="184"/>
      <c r="B121" s="185"/>
      <c r="C121" s="185"/>
      <c r="D121" s="185"/>
      <c r="E121" s="186"/>
      <c r="F121" s="187"/>
      <c r="G121" s="188"/>
      <c r="H121" s="189"/>
      <c r="I121" s="190"/>
      <c r="J121" s="190"/>
      <c r="K121" s="191"/>
      <c r="L121" s="23"/>
      <c r="M121" s="23"/>
      <c r="N121" s="23"/>
      <c r="O121" s="23"/>
      <c r="P121" s="23"/>
    </row>
    <row r="122" spans="1:16" ht="18.75" hidden="1" x14ac:dyDescent="0.25">
      <c r="A122" s="184"/>
      <c r="B122" s="185"/>
      <c r="C122" s="185"/>
      <c r="D122" s="185"/>
      <c r="E122" s="186"/>
      <c r="F122" s="187"/>
      <c r="G122" s="188"/>
      <c r="H122" s="189"/>
      <c r="I122" s="190"/>
      <c r="J122" s="190"/>
      <c r="K122" s="191"/>
      <c r="L122" s="23"/>
      <c r="M122" s="23"/>
      <c r="N122" s="23"/>
      <c r="O122" s="23"/>
      <c r="P122" s="23"/>
    </row>
    <row r="123" spans="1:16" ht="19.5" hidden="1" x14ac:dyDescent="0.3">
      <c r="A123" s="205" t="s">
        <v>49</v>
      </c>
      <c r="B123" s="17"/>
      <c r="C123" s="206"/>
      <c r="D123" s="17"/>
      <c r="E123" s="17"/>
      <c r="F123" s="17"/>
      <c r="G123" s="17"/>
      <c r="H123" s="17"/>
      <c r="I123" s="207"/>
      <c r="J123" s="207"/>
      <c r="K123" s="208"/>
      <c r="L123" s="23"/>
      <c r="M123" s="23"/>
      <c r="N123" s="23"/>
      <c r="O123" s="23"/>
      <c r="P123" s="23"/>
    </row>
    <row r="124" spans="1:16" ht="19.5" hidden="1" x14ac:dyDescent="0.3">
      <c r="A124" s="209"/>
      <c r="B124" s="210" t="s">
        <v>50</v>
      </c>
      <c r="C124" s="206"/>
      <c r="D124" s="211"/>
      <c r="E124" s="17"/>
      <c r="F124" s="17"/>
      <c r="G124" s="20"/>
      <c r="H124" s="20"/>
      <c r="I124" s="212">
        <v>0</v>
      </c>
      <c r="J124" s="212">
        <v>0</v>
      </c>
      <c r="K124" s="27">
        <v>0</v>
      </c>
      <c r="L124" s="23"/>
      <c r="M124" s="23"/>
      <c r="N124" s="23"/>
      <c r="O124" s="23"/>
      <c r="P124" s="23"/>
    </row>
    <row r="125" spans="1:16" ht="19.5" hidden="1" x14ac:dyDescent="0.3">
      <c r="A125" s="209"/>
      <c r="B125" s="17"/>
      <c r="C125" s="18" t="s">
        <v>16</v>
      </c>
      <c r="D125" s="19" t="s">
        <v>17</v>
      </c>
      <c r="E125" s="17"/>
      <c r="F125" s="17"/>
      <c r="G125" s="20"/>
      <c r="H125" s="213" t="s">
        <v>12</v>
      </c>
      <c r="I125" s="22"/>
      <c r="J125" s="22"/>
      <c r="K125" s="23"/>
      <c r="L125" s="24">
        <f t="shared" ref="L125:N125" ca="1" si="54">L126+L127</f>
        <v>0</v>
      </c>
      <c r="M125" s="24">
        <f t="shared" ca="1" si="54"/>
        <v>0</v>
      </c>
      <c r="N125" s="24">
        <f t="shared" ca="1" si="54"/>
        <v>0</v>
      </c>
      <c r="O125" s="24">
        <f t="shared" ref="O125:O133" ca="1" si="55">IF(L125&gt;0,N125*100/L125,0)</f>
        <v>0</v>
      </c>
      <c r="P125" s="24">
        <f t="shared" ref="P125:P133" ca="1" si="56">IF(M125&gt;0,N125*100/M125,0)</f>
        <v>0</v>
      </c>
    </row>
    <row r="126" spans="1:16" ht="18.75" hidden="1" x14ac:dyDescent="0.25">
      <c r="A126" s="214"/>
      <c r="B126" s="187"/>
      <c r="C126" s="187"/>
      <c r="D126" s="187"/>
      <c r="E126" s="186" t="s">
        <v>18</v>
      </c>
      <c r="F126" s="187"/>
      <c r="G126" s="188"/>
      <c r="H126" s="215" t="s">
        <v>12</v>
      </c>
      <c r="I126" s="196"/>
      <c r="J126" s="196"/>
      <c r="K126" s="198"/>
      <c r="L126" s="27">
        <f t="shared" ref="L126:N126" ca="1" si="57">L129+L132</f>
        <v>0</v>
      </c>
      <c r="M126" s="27">
        <f t="shared" ca="1" si="57"/>
        <v>0</v>
      </c>
      <c r="N126" s="27">
        <f t="shared" ca="1" si="57"/>
        <v>0</v>
      </c>
      <c r="O126" s="27">
        <f t="shared" ca="1" si="55"/>
        <v>0</v>
      </c>
      <c r="P126" s="27">
        <f t="shared" ca="1" si="56"/>
        <v>0</v>
      </c>
    </row>
    <row r="127" spans="1:16" ht="18.75" hidden="1" x14ac:dyDescent="0.25">
      <c r="A127" s="209"/>
      <c r="B127" s="17"/>
      <c r="C127" s="17"/>
      <c r="D127" s="17"/>
      <c r="E127" s="25" t="s">
        <v>19</v>
      </c>
      <c r="F127" s="17"/>
      <c r="G127" s="20"/>
      <c r="H127" s="216" t="s">
        <v>12</v>
      </c>
      <c r="I127" s="22"/>
      <c r="J127" s="22"/>
      <c r="K127" s="23"/>
      <c r="L127" s="27">
        <f t="shared" ref="L127:N127" ca="1" si="58">L130+L133</f>
        <v>0</v>
      </c>
      <c r="M127" s="27">
        <f t="shared" ca="1" si="58"/>
        <v>0</v>
      </c>
      <c r="N127" s="27">
        <f t="shared" ca="1" si="58"/>
        <v>0</v>
      </c>
      <c r="O127" s="27">
        <f t="shared" ca="1" si="55"/>
        <v>0</v>
      </c>
      <c r="P127" s="27">
        <f t="shared" ca="1" si="56"/>
        <v>0</v>
      </c>
    </row>
    <row r="128" spans="1:16" ht="18.75" hidden="1" x14ac:dyDescent="0.25">
      <c r="A128" s="209"/>
      <c r="B128" s="17"/>
      <c r="C128" s="17"/>
      <c r="D128" s="28" t="s">
        <v>20</v>
      </c>
      <c r="E128" s="17"/>
      <c r="F128" s="17"/>
      <c r="G128" s="20"/>
      <c r="H128" s="217" t="s">
        <v>12</v>
      </c>
      <c r="I128" s="22"/>
      <c r="J128" s="22"/>
      <c r="K128" s="23"/>
      <c r="L128" s="27">
        <f t="shared" ref="L128:N128" ca="1" si="59">L129+L130</f>
        <v>0</v>
      </c>
      <c r="M128" s="27">
        <f t="shared" ca="1" si="59"/>
        <v>0</v>
      </c>
      <c r="N128" s="27">
        <f t="shared" ca="1" si="59"/>
        <v>0</v>
      </c>
      <c r="O128" s="27">
        <f t="shared" ca="1" si="55"/>
        <v>0</v>
      </c>
      <c r="P128" s="27">
        <f t="shared" ca="1" si="56"/>
        <v>0</v>
      </c>
    </row>
    <row r="129" spans="1:16" ht="18.75" hidden="1" x14ac:dyDescent="0.25">
      <c r="A129" s="214"/>
      <c r="B129" s="187"/>
      <c r="C129" s="187"/>
      <c r="D129" s="187"/>
      <c r="E129" s="186" t="s">
        <v>34</v>
      </c>
      <c r="F129" s="187"/>
      <c r="G129" s="188"/>
      <c r="H129" s="218" t="s">
        <v>12</v>
      </c>
      <c r="I129" s="196"/>
      <c r="J129" s="196"/>
      <c r="K129" s="198"/>
      <c r="L129" s="27">
        <f ca="1">IFERROR(__xludf.DUMMYFUNCTION("IMPORTRANGE(""https://docs.google.com/spreadsheets/d/1-uDff_7J0KD5mKrp0Vvzr7lt3OU09vwQwhkpOPPYv2Y/edit?usp=sharing"",""งบพรบ!BG9"")"),0)</f>
        <v>0</v>
      </c>
      <c r="M129" s="27">
        <f ca="1">IFERROR(__xludf.DUMMYFUNCTION("IMPORTRANGE(""https://docs.google.com/spreadsheets/d/1-uDff_7J0KD5mKrp0Vvzr7lt3OU09vwQwhkpOPPYv2Y/edit?usp=sharing"",""งบพรบ!BL9"")"),0)</f>
        <v>0</v>
      </c>
      <c r="N129" s="27">
        <f ca="1">IFERROR(__xludf.DUMMYFUNCTION("IMPORTRANGE(""https://docs.google.com/spreadsheets/d/1-uDff_7J0KD5mKrp0Vvzr7lt3OU09vwQwhkpOPPYv2Y/edit?usp=sharing"",""งบพรบ!BN9"")"),0)</f>
        <v>0</v>
      </c>
      <c r="O129" s="27">
        <f t="shared" ca="1" si="55"/>
        <v>0</v>
      </c>
      <c r="P129" s="27">
        <f t="shared" ca="1" si="56"/>
        <v>0</v>
      </c>
    </row>
    <row r="130" spans="1:16" ht="18.75" hidden="1" x14ac:dyDescent="0.25">
      <c r="A130" s="209"/>
      <c r="B130" s="17"/>
      <c r="C130" s="17"/>
      <c r="D130" s="17"/>
      <c r="E130" s="25" t="s">
        <v>35</v>
      </c>
      <c r="F130" s="17"/>
      <c r="G130" s="20"/>
      <c r="H130" s="217" t="s">
        <v>12</v>
      </c>
      <c r="I130" s="22"/>
      <c r="J130" s="22"/>
      <c r="K130" s="23"/>
      <c r="L130" s="27">
        <f ca="1">IFERROR(__xludf.DUMMYFUNCTION("IMPORTRANGE(""https://docs.google.com/spreadsheets/d/1-uDff_7J0KD5mKrp0Vvzr7lt3OU09vwQwhkpOPPYv2Y/edit?usp=sharing"",""งบพรบ!BG8"")"),0)</f>
        <v>0</v>
      </c>
      <c r="M130" s="27">
        <f ca="1">IFERROR(__xludf.DUMMYFUNCTION("IMPORTRANGE(""https://docs.google.com/spreadsheets/d/1-uDff_7J0KD5mKrp0Vvzr7lt3OU09vwQwhkpOPPYv2Y/edit?usp=sharing"",""งบพรบ!BL8"")"),0)</f>
        <v>0</v>
      </c>
      <c r="N130" s="27">
        <f ca="1">IFERROR(__xludf.DUMMYFUNCTION("IMPORTRANGE(""https://docs.google.com/spreadsheets/d/1-uDff_7J0KD5mKrp0Vvzr7lt3OU09vwQwhkpOPPYv2Y/edit?usp=sharing"",""งบพรบ!BN8"")"),0)</f>
        <v>0</v>
      </c>
      <c r="O130" s="27">
        <f t="shared" ca="1" si="55"/>
        <v>0</v>
      </c>
      <c r="P130" s="27">
        <f t="shared" ca="1" si="56"/>
        <v>0</v>
      </c>
    </row>
    <row r="131" spans="1:16" ht="18.75" hidden="1" x14ac:dyDescent="0.25">
      <c r="A131" s="209"/>
      <c r="B131" s="17"/>
      <c r="C131" s="17"/>
      <c r="D131" s="28" t="s">
        <v>21</v>
      </c>
      <c r="E131" s="17"/>
      <c r="F131" s="17"/>
      <c r="G131" s="20"/>
      <c r="H131" s="216" t="s">
        <v>12</v>
      </c>
      <c r="I131" s="22"/>
      <c r="J131" s="22"/>
      <c r="K131" s="23"/>
      <c r="L131" s="27">
        <f t="shared" ref="L131:N131" ca="1" si="60">L132+L133</f>
        <v>0</v>
      </c>
      <c r="M131" s="27">
        <f t="shared" ca="1" si="60"/>
        <v>0</v>
      </c>
      <c r="N131" s="27">
        <f t="shared" ca="1" si="60"/>
        <v>0</v>
      </c>
      <c r="O131" s="27">
        <f t="shared" ca="1" si="55"/>
        <v>0</v>
      </c>
      <c r="P131" s="27">
        <f t="shared" ca="1" si="56"/>
        <v>0</v>
      </c>
    </row>
    <row r="132" spans="1:16" ht="18.75" hidden="1" x14ac:dyDescent="0.25">
      <c r="A132" s="214"/>
      <c r="B132" s="187"/>
      <c r="C132" s="187"/>
      <c r="D132" s="187"/>
      <c r="E132" s="186" t="s">
        <v>18</v>
      </c>
      <c r="F132" s="187"/>
      <c r="G132" s="188"/>
      <c r="H132" s="218" t="s">
        <v>12</v>
      </c>
      <c r="I132" s="196"/>
      <c r="J132" s="196"/>
      <c r="K132" s="198"/>
      <c r="L132" s="27">
        <f ca="1">IFERROR(__xludf.DUMMYFUNCTION("IMPORTRANGE(""https://docs.google.com/spreadsheets/d/1-uDff_7J0KD5mKrp0Vvzr7lt3OU09vwQwhkpOPPYv2Y/edit?usp=sharing"",""งบพรบ!BJ9"")"),0)</f>
        <v>0</v>
      </c>
      <c r="M132" s="27">
        <f ca="1">IFERROR(__xludf.DUMMYFUNCTION("IMPORTRANGE(""https://docs.google.com/spreadsheets/d/1-uDff_7J0KD5mKrp0Vvzr7lt3OU09vwQwhkpOPPYv2Y/edit?usp=sharing"",""งบพรบ!BM9"")"),0)</f>
        <v>0</v>
      </c>
      <c r="N132" s="27">
        <f ca="1">IFERROR(__xludf.DUMMYFUNCTION("IMPORTRANGE(""https://docs.google.com/spreadsheets/d/1-uDff_7J0KD5mKrp0Vvzr7lt3OU09vwQwhkpOPPYv2Y/edit?usp=sharing"",""งบพรบ!BO9"")"),0)</f>
        <v>0</v>
      </c>
      <c r="O132" s="27">
        <f t="shared" ca="1" si="55"/>
        <v>0</v>
      </c>
      <c r="P132" s="27">
        <f t="shared" ca="1" si="56"/>
        <v>0</v>
      </c>
    </row>
    <row r="133" spans="1:16" ht="18.75" hidden="1" x14ac:dyDescent="0.25">
      <c r="A133" s="209"/>
      <c r="B133" s="17"/>
      <c r="C133" s="17"/>
      <c r="D133" s="17"/>
      <c r="E133" s="25" t="s">
        <v>19</v>
      </c>
      <c r="F133" s="17"/>
      <c r="G133" s="20"/>
      <c r="H133" s="216" t="s">
        <v>12</v>
      </c>
      <c r="I133" s="22"/>
      <c r="J133" s="22"/>
      <c r="K133" s="23"/>
      <c r="L133" s="27">
        <f ca="1">IFERROR(__xludf.DUMMYFUNCTION("IMPORTRANGE(""https://docs.google.com/spreadsheets/d/1-uDff_7J0KD5mKrp0Vvzr7lt3OU09vwQwhkpOPPYv2Y/edit?usp=sharing"",""งบพรบ!BJ8"")"),0)</f>
        <v>0</v>
      </c>
      <c r="M133" s="27">
        <f ca="1">IFERROR(__xludf.DUMMYFUNCTION("IMPORTRANGE(""https://docs.google.com/spreadsheets/d/1-uDff_7J0KD5mKrp0Vvzr7lt3OU09vwQwhkpOPPYv2Y/edit?usp=sharing"",""งบพรบ!BM8"")"),0)</f>
        <v>0</v>
      </c>
      <c r="N133" s="27">
        <f ca="1">IFERROR(__xludf.DUMMYFUNCTION("IMPORTRANGE(""https://docs.google.com/spreadsheets/d/1-uDff_7J0KD5mKrp0Vvzr7lt3OU09vwQwhkpOPPYv2Y/edit?usp=sharing"",""งบพรบ!BO8"")"),0)</f>
        <v>0</v>
      </c>
      <c r="O133" s="27">
        <f t="shared" ca="1" si="55"/>
        <v>0</v>
      </c>
      <c r="P133" s="27">
        <f t="shared" ca="1" si="56"/>
        <v>0</v>
      </c>
    </row>
    <row r="134" spans="1:16" ht="19.5" x14ac:dyDescent="0.3">
      <c r="A134" s="146" t="s">
        <v>51</v>
      </c>
      <c r="B134" s="147"/>
      <c r="C134" s="219"/>
      <c r="D134" s="147"/>
      <c r="E134" s="147"/>
      <c r="F134" s="147"/>
      <c r="G134" s="147"/>
      <c r="H134" s="147"/>
      <c r="I134" s="220"/>
      <c r="J134" s="220"/>
      <c r="K134" s="221"/>
      <c r="L134" s="151"/>
      <c r="M134" s="151"/>
      <c r="N134" s="151"/>
      <c r="O134" s="151"/>
      <c r="P134" s="151"/>
    </row>
    <row r="135" spans="1:16" ht="19.5" x14ac:dyDescent="0.3">
      <c r="A135" s="152"/>
      <c r="B135" s="153" t="s">
        <v>52</v>
      </c>
      <c r="C135" s="222"/>
      <c r="D135" s="154"/>
      <c r="E135" s="41"/>
      <c r="F135" s="41"/>
      <c r="G135" s="41"/>
      <c r="H135" s="41"/>
      <c r="I135" s="46"/>
      <c r="J135" s="46"/>
      <c r="K135" s="47"/>
      <c r="L135" s="47"/>
      <c r="M135" s="47"/>
      <c r="N135" s="47"/>
      <c r="O135" s="47"/>
      <c r="P135" s="47"/>
    </row>
    <row r="136" spans="1:16" ht="19.5" x14ac:dyDescent="0.3">
      <c r="A136" s="152"/>
      <c r="B136" s="41"/>
      <c r="C136" s="223" t="s">
        <v>53</v>
      </c>
      <c r="D136" s="154"/>
      <c r="E136" s="41"/>
      <c r="F136" s="41"/>
      <c r="G136" s="44"/>
      <c r="H136" s="155" t="s">
        <v>54</v>
      </c>
      <c r="I136" s="156">
        <f t="shared" ref="I136:J136" ca="1" si="61">I154</f>
        <v>2</v>
      </c>
      <c r="J136" s="156">
        <f t="shared" ca="1" si="61"/>
        <v>0</v>
      </c>
      <c r="K136" s="48">
        <f t="shared" ref="K136:K138" ca="1" si="62">IF(I136&gt;0,J136*100/I136,0)</f>
        <v>0</v>
      </c>
      <c r="L136" s="47"/>
      <c r="M136" s="47"/>
      <c r="N136" s="47"/>
      <c r="O136" s="47"/>
      <c r="P136" s="47"/>
    </row>
    <row r="137" spans="1:16" ht="19.5" x14ac:dyDescent="0.3">
      <c r="A137" s="152"/>
      <c r="B137" s="41"/>
      <c r="C137" s="223" t="s">
        <v>55</v>
      </c>
      <c r="D137" s="154"/>
      <c r="E137" s="41"/>
      <c r="F137" s="41"/>
      <c r="G137" s="44"/>
      <c r="H137" s="155" t="s">
        <v>33</v>
      </c>
      <c r="I137" s="156">
        <f t="shared" ref="I137:J137" ca="1" si="63">I152</f>
        <v>290</v>
      </c>
      <c r="J137" s="156">
        <f t="shared" ca="1" si="63"/>
        <v>0</v>
      </c>
      <c r="K137" s="48">
        <f t="shared" ca="1" si="62"/>
        <v>0</v>
      </c>
      <c r="L137" s="47"/>
      <c r="M137" s="47"/>
      <c r="N137" s="47"/>
      <c r="O137" s="47"/>
      <c r="P137" s="47"/>
    </row>
    <row r="138" spans="1:16" ht="19.5" x14ac:dyDescent="0.3">
      <c r="A138" s="152"/>
      <c r="B138" s="41"/>
      <c r="C138" s="223"/>
      <c r="D138" s="154"/>
      <c r="E138" s="41"/>
      <c r="F138" s="41"/>
      <c r="G138" s="44"/>
      <c r="H138" s="224" t="s">
        <v>56</v>
      </c>
      <c r="I138" s="156">
        <f t="shared" ref="I138:J138" ca="1" si="64">I153</f>
        <v>29</v>
      </c>
      <c r="J138" s="156">
        <f t="shared" ca="1" si="64"/>
        <v>0</v>
      </c>
      <c r="K138" s="48">
        <f t="shared" ca="1" si="62"/>
        <v>0</v>
      </c>
      <c r="L138" s="47"/>
      <c r="M138" s="47"/>
      <c r="N138" s="47"/>
      <c r="O138" s="47"/>
      <c r="P138" s="47"/>
    </row>
    <row r="139" spans="1:16" ht="19.5" x14ac:dyDescent="0.3">
      <c r="A139" s="157"/>
      <c r="B139" s="53"/>
      <c r="C139" s="158" t="s">
        <v>16</v>
      </c>
      <c r="D139" s="159" t="s">
        <v>17</v>
      </c>
      <c r="E139" s="53"/>
      <c r="F139" s="53"/>
      <c r="G139" s="55"/>
      <c r="H139" s="160" t="s">
        <v>12</v>
      </c>
      <c r="I139" s="57"/>
      <c r="J139" s="57"/>
      <c r="K139" s="58"/>
      <c r="L139" s="161">
        <f t="shared" ref="L139:N139" ca="1" si="65">L140+L141</f>
        <v>772800</v>
      </c>
      <c r="M139" s="161">
        <f t="shared" ca="1" si="65"/>
        <v>621300</v>
      </c>
      <c r="N139" s="161">
        <f t="shared" ca="1" si="65"/>
        <v>161285.65</v>
      </c>
      <c r="O139" s="161">
        <f t="shared" ref="O139:O147" ca="1" si="66">IF(L139&gt;0,N139*100/L139,0)</f>
        <v>20.870296325051761</v>
      </c>
      <c r="P139" s="161">
        <f t="shared" ref="P139:P147" ca="1" si="67">IF(M139&gt;0,N139*100/M139,0)</f>
        <v>25.95938355061967</v>
      </c>
    </row>
    <row r="140" spans="1:16" ht="18.75" x14ac:dyDescent="0.25">
      <c r="A140" s="157"/>
      <c r="B140" s="53"/>
      <c r="C140" s="53"/>
      <c r="D140" s="53"/>
      <c r="E140" s="60" t="s">
        <v>18</v>
      </c>
      <c r="F140" s="53"/>
      <c r="G140" s="55"/>
      <c r="H140" s="162" t="s">
        <v>12</v>
      </c>
      <c r="I140" s="57"/>
      <c r="J140" s="57"/>
      <c r="K140" s="58"/>
      <c r="L140" s="59">
        <f t="shared" ref="L140:N140" ca="1" si="68">L143+L146</f>
        <v>0</v>
      </c>
      <c r="M140" s="59">
        <f t="shared" ca="1" si="68"/>
        <v>0</v>
      </c>
      <c r="N140" s="59">
        <f t="shared" ca="1" si="68"/>
        <v>0</v>
      </c>
      <c r="O140" s="59">
        <f t="shared" ca="1" si="66"/>
        <v>0</v>
      </c>
      <c r="P140" s="59">
        <f t="shared" ca="1" si="67"/>
        <v>0</v>
      </c>
    </row>
    <row r="141" spans="1:16" ht="18.75" x14ac:dyDescent="0.25">
      <c r="A141" s="157"/>
      <c r="B141" s="53"/>
      <c r="C141" s="53"/>
      <c r="D141" s="53"/>
      <c r="E141" s="60" t="s">
        <v>19</v>
      </c>
      <c r="F141" s="53"/>
      <c r="G141" s="55"/>
      <c r="H141" s="162" t="s">
        <v>12</v>
      </c>
      <c r="I141" s="57"/>
      <c r="J141" s="57"/>
      <c r="K141" s="58"/>
      <c r="L141" s="59">
        <f t="shared" ref="L141:N141" ca="1" si="69">L144+L147</f>
        <v>772800</v>
      </c>
      <c r="M141" s="59">
        <f t="shared" ca="1" si="69"/>
        <v>621300</v>
      </c>
      <c r="N141" s="59">
        <f t="shared" ca="1" si="69"/>
        <v>161285.65</v>
      </c>
      <c r="O141" s="59">
        <f t="shared" ca="1" si="66"/>
        <v>20.870296325051761</v>
      </c>
      <c r="P141" s="59">
        <f t="shared" ca="1" si="67"/>
        <v>25.95938355061967</v>
      </c>
    </row>
    <row r="142" spans="1:16" ht="18.75" x14ac:dyDescent="0.25">
      <c r="A142" s="157"/>
      <c r="B142" s="53"/>
      <c r="C142" s="53"/>
      <c r="D142" s="54" t="s">
        <v>20</v>
      </c>
      <c r="E142" s="53"/>
      <c r="F142" s="53"/>
      <c r="G142" s="55"/>
      <c r="H142" s="163" t="s">
        <v>12</v>
      </c>
      <c r="I142" s="164"/>
      <c r="J142" s="164"/>
      <c r="K142" s="165"/>
      <c r="L142" s="59">
        <f t="shared" ref="L142:N142" ca="1" si="70">L143+L144</f>
        <v>772800</v>
      </c>
      <c r="M142" s="59">
        <f t="shared" ca="1" si="70"/>
        <v>621300</v>
      </c>
      <c r="N142" s="59">
        <f t="shared" ca="1" si="70"/>
        <v>161285.65</v>
      </c>
      <c r="O142" s="59">
        <f t="shared" ca="1" si="66"/>
        <v>20.870296325051761</v>
      </c>
      <c r="P142" s="59">
        <f t="shared" ca="1" si="67"/>
        <v>25.95938355061967</v>
      </c>
    </row>
    <row r="143" spans="1:16" ht="18.75" x14ac:dyDescent="0.25">
      <c r="A143" s="157"/>
      <c r="B143" s="53"/>
      <c r="C143" s="53"/>
      <c r="D143" s="53"/>
      <c r="E143" s="60" t="s">
        <v>34</v>
      </c>
      <c r="F143" s="53"/>
      <c r="G143" s="55"/>
      <c r="H143" s="163" t="s">
        <v>12</v>
      </c>
      <c r="I143" s="164"/>
      <c r="J143" s="164"/>
      <c r="K143" s="165"/>
      <c r="L143" s="59">
        <f ca="1">IFERROR(__xludf.DUMMYFUNCTION("IMPORTRANGE(""https://docs.google.com/spreadsheets/d/1yhBcrRPreicbMKl9Bu_Snb2-OcQAF62RKfhTLhJ2eAA/edit?usp=sharing"",""กาฬสินธุ์!L143"")+IMPORTRANGE(""https://docs.google.com/spreadsheets/d/1aHkj4IaQMThhwWwevcOymEh837vdxeC_PycurhTbGFA/edit?usp=sharing"","&amp;"""ขอนแก่น!L143"")+IMPORTRANGE(""https://docs.google.com/spreadsheets/d/1FvTu2DsIWUjP6WCWra38Bkj_oOl_sOMf14r5Fg5srxU/edit?usp=sharing"",""ชัยภูมิ!L143"")+IMPORTRANGE(""https://docs.google.com/spreadsheets/d/1XVB7oCJ3pr-vBUdflwPQ8Z2LlzhnCvZaaYjAfP-647E/edit"&amp;"?usp=sharing"",""นครพนม!L143"")+IMPORTRANGE(""https://docs.google.com/spreadsheets/d/1Mnpb-8PYAgn85W6KOTD40hc_Xc55CaLfHoGAbrZ8tls/edit?usp=sharing"",""นครราชสีมา!L143"")+IMPORTRANGE(""https://docs.google.com/spreadsheets/d/1xoDLGBv9CYbyosIhki0kTq6IpYNj-gp"&amp;"jxfobnaDiut0/edit?usp=sharing"",""บึงกาฬ!L143"")+IMPORTRANGE(""https://docs.google.com/spreadsheets/d/1MMPq-JyI6DSgQETxuSiXkesP-P7JHuemnE6QJIa-Nlw/edit?usp=sharing"",""บุรีรัมย์!L143"")+IMPORTRANGE(""https://docs.google.com/spreadsheets/d/1l6IZ8xUPgMrESzc"&amp;"TYwhA1k_tPjeQjJPTqlm8Gd9eU5g/edit?usp=sharing"",""มหาสารคาม!L143"")+IMPORTRANGE(""https://docs.google.com/spreadsheets/d/1uB74YLqNjWX6FObjekfB2NtSYigTQyR2rq9u4Ub2Sq4/edit?usp=sharing"",""มุกดาหาร!L143"")+IMPORTRANGE(""https://docs.google.com/spreadsheets/"&amp;"d/1NexK3geCPxCTO1fzNF8dPec7yZyUx3OaWkFBC9HsQOo/edit?usp=sharing"",""ยโสธร!L143"")+IMPORTRANGE(""https://docs.google.com/spreadsheets/d/1v_cJrbBlyqmnHPReHk44g9NrMRdENNlSy_E_c5M9fIg/edit?usp=sharing"",""ร้อยเอ็ด!L143"")+IMPORTRANGE(""https://docs.google.com"&amp;"/spreadsheets/d/1Ul4RCpCX66NxYADU1QpwAPjOmBzW64SsT11s1wzXw_c/edit?usp=sharing"",""เลย!L143"")+IMPORTRANGE(""https://docs.google.com/spreadsheets/d/1bRrNKwbHDVktQG10isr5vbWRtt5spIZPpkOSWgbT5ug/edit?usp=sharing"",""ศรีสะเกษ!L143"")+IMPORTRANGE(""https://doc"&amp;"s.google.com/spreadsheets/d/17P34_Ow5kFBfdQD0qspb2UuPX5zpi6WMrQzslghyvrI/edit?usp=sharing"",""สกลนคร!L143"")+IMPORTRANGE(""https://docs.google.com/spreadsheets/d/1yswqbM3-AEpThF3ZSUa1AcmHnmRTF1vlJ1CZGcJ8YuU/edit?usp=sharing"",""สุรินทร์!L143"")+IMPORTRANG"&amp;"E(""https://docs.google.com/spreadsheets/d/13JHU_EFbsQOUQ0JSQ3dWy1VTRosIWcDq6Nc99z2qzdc/edit?usp=sharing"",""หนองคาย!L143"")+IMPORTRANGE(""https://docs.google.com/spreadsheets/d/1Hx73zIEgVdDZZaYSTc46Dqv64atFhpr3GelxLbaIN8A/edit?usp=sharing"",""หนองบัวลำภู"&amp;"!L143"")+IMPORTRANGE(""https://docs.google.com/spreadsheets/d/1lFxr3ctmjFN90yc-xV6jrQ9Ty8BKYVBWnAZ15wcNIJc/edit?usp=sharing"",""อำนาจเจริญ!L143"")+IMPORTRANGE(""https://docs.google.com/spreadsheets/d/1gF7RJpRnL-1oyjyeWxs5SFWEH7y8ahOZsQlyp2A2e-A/edit?usp=s"&amp;"haring"",""อุดรธานี!L143"")+IMPORTRANGE(""https://docs.google.com/spreadsheets/d/1kfLP0j3INXRa8bTDpcEmoWewMBV61jlFlfzczfjWIgc/edit?usp=sharing"",""อุบลราชธานี!L143"")"),0)</f>
        <v>0</v>
      </c>
      <c r="M143" s="59">
        <f ca="1">IFERROR(__xludf.DUMMYFUNCTION("IMPORTRANGE(""https://docs.google.com/spreadsheets/d/1yhBcrRPreicbMKl9Bu_Snb2-OcQAF62RKfhTLhJ2eAA/edit?usp=sharing"",""กาฬสินธุ์!M143"")+IMPORTRANGE(""https://docs.google.com/spreadsheets/d/1aHkj4IaQMThhwWwevcOymEh837vdxeC_PycurhTbGFA/edit?usp=sharing"","&amp;"""ขอนแก่น!M143"")+IMPORTRANGE(""https://docs.google.com/spreadsheets/d/1FvTu2DsIWUjP6WCWra38Bkj_oOl_sOMf14r5Fg5srxU/edit?usp=sharing"",""ชัยภูมิ!M143"")+IMPORTRANGE(""https://docs.google.com/spreadsheets/d/1XVB7oCJ3pr-vBUdflwPQ8Z2LlzhnCvZaaYjAfP-647E/edit"&amp;"?usp=sharing"",""นครพนม!M143"")+IMPORTRANGE(""https://docs.google.com/spreadsheets/d/1Mnpb-8PYAgn85W6KOTD40hc_Xc55CaLfHoGAbrZ8tls/edit?usp=sharing"",""นครราชสีมา!M143"")+IMPORTRANGE(""https://docs.google.com/spreadsheets/d/1xoDLGBv9CYbyosIhki0kTq6IpYNj-gp"&amp;"jxfobnaDiut0/edit?usp=sharing"",""บึงกาฬ!M143"")+IMPORTRANGE(""https://docs.google.com/spreadsheets/d/1MMPq-JyI6DSgQETxuSiXkesP-P7JHuemnE6QJIa-Nlw/edit?usp=sharing"",""บุรีรัมย์!M143"")+IMPORTRANGE(""https://docs.google.com/spreadsheets/d/1l6IZ8xUPgMrESzc"&amp;"TYwhA1k_tPjeQjJPTqlm8Gd9eU5g/edit?usp=sharing"",""มหาสารคาม!M143"")+IMPORTRANGE(""https://docs.google.com/spreadsheets/d/1uB74YLqNjWX6FObjekfB2NtSYigTQyR2rq9u4Ub2Sq4/edit?usp=sharing"",""มุกดาหาร!M143"")+IMPORTRANGE(""https://docs.google.com/spreadsheets/"&amp;"d/1NexK3geCPxCTO1fzNF8dPec7yZyUx3OaWkFBC9HsQOo/edit?usp=sharing"",""ยโสธร!M143"")+IMPORTRANGE(""https://docs.google.com/spreadsheets/d/1v_cJrbBlyqmnHPReHk44g9NrMRdENNlSy_E_c5M9fIg/edit?usp=sharing"",""ร้อยเอ็ด!M143"")+IMPORTRANGE(""https://docs.google.com"&amp;"/spreadsheets/d/1Ul4RCpCX66NxYADU1QpwAPjOmBzW64SsT11s1wzXw_c/edit?usp=sharing"",""เลย!M143"")+IMPORTRANGE(""https://docs.google.com/spreadsheets/d/1bRrNKwbHDVktQG10isr5vbWRtt5spIZPpkOSWgbT5ug/edit?usp=sharing"",""ศรีสะเกษ!M143"")+IMPORTRANGE(""https://doc"&amp;"s.google.com/spreadsheets/d/17P34_Ow5kFBfdQD0qspb2UuPX5zpi6WMrQzslghyvrI/edit?usp=sharing"",""สกลนคร!M143"")+IMPORTRANGE(""https://docs.google.com/spreadsheets/d/1yswqbM3-AEpThF3ZSUa1AcmHnmRTF1vlJ1CZGcJ8YuU/edit?usp=sharing"",""สุรินทร์!M143"")+IMPORTRANG"&amp;"E(""https://docs.google.com/spreadsheets/d/13JHU_EFbsQOUQ0JSQ3dWy1VTRosIWcDq6Nc99z2qzdc/edit?usp=sharing"",""หนองคาย!M143"")+IMPORTRANGE(""https://docs.google.com/spreadsheets/d/1Hx73zIEgVdDZZaYSTc46Dqv64atFhpr3GelxLbaIN8A/edit?usp=sharing"",""หนองบัวลำภู"&amp;"!M143"")+IMPORTRANGE(""https://docs.google.com/spreadsheets/d/1lFxr3ctmjFN90yc-xV6jrQ9Ty8BKYVBWnAZ15wcNIJc/edit?usp=sharing"",""อำนาจเจริญ!M143"")+IMPORTRANGE(""https://docs.google.com/spreadsheets/d/1gF7RJpRnL-1oyjyeWxs5SFWEH7y8ahOZsQlyp2A2e-A/edit?usp=s"&amp;"haring"",""อุดรธานี!M143"")+IMPORTRANGE(""https://docs.google.com/spreadsheets/d/1kfLP0j3INXRa8bTDpcEmoWewMBV61jlFlfzczfjWIgc/edit?usp=sharing"",""อุบลราชธานี!M143"")"),0)</f>
        <v>0</v>
      </c>
      <c r="N143" s="59">
        <f ca="1">IFERROR(__xludf.DUMMYFUNCTION("IMPORTRANGE(""https://docs.google.com/spreadsheets/d/1yhBcrRPreicbMKl9Bu_Snb2-OcQAF62RKfhTLhJ2eAA/edit?usp=sharing"",""กาฬสินธุ์!N143"")+IMPORTRANGE(""https://docs.google.com/spreadsheets/d/1aHkj4IaQMThhwWwevcOymEh837vdxeC_PycurhTbGFA/edit?usp=sharing"","&amp;"""ขอนแก่น!N143"")+IMPORTRANGE(""https://docs.google.com/spreadsheets/d/1FvTu2DsIWUjP6WCWra38Bkj_oOl_sOMf14r5Fg5srxU/edit?usp=sharing"",""ชัยภูมิ!N143"")+IMPORTRANGE(""https://docs.google.com/spreadsheets/d/1XVB7oCJ3pr-vBUdflwPQ8Z2LlzhnCvZaaYjAfP-647E/edit"&amp;"?usp=sharing"",""นครพนม!N143"")+IMPORTRANGE(""https://docs.google.com/spreadsheets/d/1Mnpb-8PYAgn85W6KOTD40hc_Xc55CaLfHoGAbrZ8tls/edit?usp=sharing"",""นครราชสีมา!N143"")+IMPORTRANGE(""https://docs.google.com/spreadsheets/d/1xoDLGBv9CYbyosIhki0kTq6IpYNj-gp"&amp;"jxfobnaDiut0/edit?usp=sharing"",""บึงกาฬ!N143"")+IMPORTRANGE(""https://docs.google.com/spreadsheets/d/1MMPq-JyI6DSgQETxuSiXkesP-P7JHuemnE6QJIa-Nlw/edit?usp=sharing"",""บุรีรัมย์!N143"")+IMPORTRANGE(""https://docs.google.com/spreadsheets/d/1l6IZ8xUPgMrESzc"&amp;"TYwhA1k_tPjeQjJPTqlm8Gd9eU5g/edit?usp=sharing"",""มหาสารคาม!N143"")+IMPORTRANGE(""https://docs.google.com/spreadsheets/d/1uB74YLqNjWX6FObjekfB2NtSYigTQyR2rq9u4Ub2Sq4/edit?usp=sharing"",""มุกดาหาร!N143"")+IMPORTRANGE(""https://docs.google.com/spreadsheets/"&amp;"d/1NexK3geCPxCTO1fzNF8dPec7yZyUx3OaWkFBC9HsQOo/edit?usp=sharing"",""ยโสธร!N143"")+IMPORTRANGE(""https://docs.google.com/spreadsheets/d/1v_cJrbBlyqmnHPReHk44g9NrMRdENNlSy_E_c5M9fIg/edit?usp=sharing"",""ร้อยเอ็ด!N143"")+IMPORTRANGE(""https://docs.google.com"&amp;"/spreadsheets/d/1Ul4RCpCX66NxYADU1QpwAPjOmBzW64SsT11s1wzXw_c/edit?usp=sharing"",""เลย!N143"")+IMPORTRANGE(""https://docs.google.com/spreadsheets/d/1bRrNKwbHDVktQG10isr5vbWRtt5spIZPpkOSWgbT5ug/edit?usp=sharing"",""ศรีสะเกษ!N143"")+IMPORTRANGE(""https://doc"&amp;"s.google.com/spreadsheets/d/17P34_Ow5kFBfdQD0qspb2UuPX5zpi6WMrQzslghyvrI/edit?usp=sharing"",""สกลนคร!N143"")+IMPORTRANGE(""https://docs.google.com/spreadsheets/d/1yswqbM3-AEpThF3ZSUa1AcmHnmRTF1vlJ1CZGcJ8YuU/edit?usp=sharing"",""สุรินทร์!N143"")+IMPORTRANG"&amp;"E(""https://docs.google.com/spreadsheets/d/13JHU_EFbsQOUQ0JSQ3dWy1VTRosIWcDq6Nc99z2qzdc/edit?usp=sharing"",""หนองคาย!N143"")+IMPORTRANGE(""https://docs.google.com/spreadsheets/d/1Hx73zIEgVdDZZaYSTc46Dqv64atFhpr3GelxLbaIN8A/edit?usp=sharing"",""หนองบัวลำภู"&amp;"!N143"")+IMPORTRANGE(""https://docs.google.com/spreadsheets/d/1lFxr3ctmjFN90yc-xV6jrQ9Ty8BKYVBWnAZ15wcNIJc/edit?usp=sharing"",""อำนาจเจริญ!N143"")+IMPORTRANGE(""https://docs.google.com/spreadsheets/d/1gF7RJpRnL-1oyjyeWxs5SFWEH7y8ahOZsQlyp2A2e-A/edit?usp=s"&amp;"haring"",""อุดรธานี!N143"")+IMPORTRANGE(""https://docs.google.com/spreadsheets/d/1kfLP0j3INXRa8bTDpcEmoWewMBV61jlFlfzczfjWIgc/edit?usp=sharing"",""อุบลราชธานี!N143"")"),0)</f>
        <v>0</v>
      </c>
      <c r="O143" s="59">
        <f t="shared" ca="1" si="66"/>
        <v>0</v>
      </c>
      <c r="P143" s="59">
        <f t="shared" ca="1" si="67"/>
        <v>0</v>
      </c>
    </row>
    <row r="144" spans="1:16" ht="18.75" x14ac:dyDescent="0.25">
      <c r="A144" s="157"/>
      <c r="B144" s="53"/>
      <c r="C144" s="53"/>
      <c r="D144" s="53"/>
      <c r="E144" s="60" t="s">
        <v>35</v>
      </c>
      <c r="F144" s="53"/>
      <c r="G144" s="55"/>
      <c r="H144" s="163" t="s">
        <v>12</v>
      </c>
      <c r="I144" s="164"/>
      <c r="J144" s="164"/>
      <c r="K144" s="165"/>
      <c r="L144" s="59">
        <f ca="1">IFERROR(__xludf.DUMMYFUNCTION("IMPORTRANGE(""https://docs.google.com/spreadsheets/d/1yhBcrRPreicbMKl9Bu_Snb2-OcQAF62RKfhTLhJ2eAA/edit?usp=sharing"",""กาฬสินธุ์!L144"")+IMPORTRANGE(""https://docs.google.com/spreadsheets/d/1aHkj4IaQMThhwWwevcOymEh837vdxeC_PycurhTbGFA/edit?usp=sharing"","&amp;"""ขอนแก่น!L144"")+IMPORTRANGE(""https://docs.google.com/spreadsheets/d/1FvTu2DsIWUjP6WCWra38Bkj_oOl_sOMf14r5Fg5srxU/edit?usp=sharing"",""ชัยภูมิ!L144"")+IMPORTRANGE(""https://docs.google.com/spreadsheets/d/1XVB7oCJ3pr-vBUdflwPQ8Z2LlzhnCvZaaYjAfP-647E/edit"&amp;"?usp=sharing"",""นครพนม!L144"")+IMPORTRANGE(""https://docs.google.com/spreadsheets/d/1Mnpb-8PYAgn85W6KOTD40hc_Xc55CaLfHoGAbrZ8tls/edit?usp=sharing"",""นครราชสีมา!L144"")+IMPORTRANGE(""https://docs.google.com/spreadsheets/d/1xoDLGBv9CYbyosIhki0kTq6IpYNj-gp"&amp;"jxfobnaDiut0/edit?usp=sharing"",""บึงกาฬ!L144"")+IMPORTRANGE(""https://docs.google.com/spreadsheets/d/1MMPq-JyI6DSgQETxuSiXkesP-P7JHuemnE6QJIa-Nlw/edit?usp=sharing"",""บุรีรัมย์!L144"")+IMPORTRANGE(""https://docs.google.com/spreadsheets/d/1l6IZ8xUPgMrESzc"&amp;"TYwhA1k_tPjeQjJPTqlm8Gd9eU5g/edit?usp=sharing"",""มหาสารคาม!L144"")+IMPORTRANGE(""https://docs.google.com/spreadsheets/d/1uB74YLqNjWX6FObjekfB2NtSYigTQyR2rq9u4Ub2Sq4/edit?usp=sharing"",""มุกดาหาร!L144"")+IMPORTRANGE(""https://docs.google.com/spreadsheets/"&amp;"d/1NexK3geCPxCTO1fzNF8dPec7yZyUx3OaWkFBC9HsQOo/edit?usp=sharing"",""ยโสธร!L144"")+IMPORTRANGE(""https://docs.google.com/spreadsheets/d/1v_cJrbBlyqmnHPReHk44g9NrMRdENNlSy_E_c5M9fIg/edit?usp=sharing"",""ร้อยเอ็ด!L144"")+IMPORTRANGE(""https://docs.google.com"&amp;"/spreadsheets/d/1Ul4RCpCX66NxYADU1QpwAPjOmBzW64SsT11s1wzXw_c/edit?usp=sharing"",""เลย!L144"")+IMPORTRANGE(""https://docs.google.com/spreadsheets/d/1bRrNKwbHDVktQG10isr5vbWRtt5spIZPpkOSWgbT5ug/edit?usp=sharing"",""ศรีสะเกษ!L144"")+IMPORTRANGE(""https://doc"&amp;"s.google.com/spreadsheets/d/17P34_Ow5kFBfdQD0qspb2UuPX5zpi6WMrQzslghyvrI/edit?usp=sharing"",""สกลนคร!L144"")+IMPORTRANGE(""https://docs.google.com/spreadsheets/d/1yswqbM3-AEpThF3ZSUa1AcmHnmRTF1vlJ1CZGcJ8YuU/edit?usp=sharing"",""สุรินทร์!L144"")+IMPORTRANG"&amp;"E(""https://docs.google.com/spreadsheets/d/13JHU_EFbsQOUQ0JSQ3dWy1VTRosIWcDq6Nc99z2qzdc/edit?usp=sharing"",""หนองคาย!L144"")+IMPORTRANGE(""https://docs.google.com/spreadsheets/d/1Hx73zIEgVdDZZaYSTc46Dqv64atFhpr3GelxLbaIN8A/edit?usp=sharing"",""หนองบัวลำภู"&amp;"!L144"")+IMPORTRANGE(""https://docs.google.com/spreadsheets/d/1lFxr3ctmjFN90yc-xV6jrQ9Ty8BKYVBWnAZ15wcNIJc/edit?usp=sharing"",""อำนาจเจริญ!L144"")+IMPORTRANGE(""https://docs.google.com/spreadsheets/d/1gF7RJpRnL-1oyjyeWxs5SFWEH7y8ahOZsQlyp2A2e-A/edit?usp=s"&amp;"haring"",""อุดรธานี!L144"")+IMPORTRANGE(""https://docs.google.com/spreadsheets/d/1kfLP0j3INXRa8bTDpcEmoWewMBV61jlFlfzczfjWIgc/edit?usp=sharing"",""อุบลราชธานี!L144"")"),772800)</f>
        <v>772800</v>
      </c>
      <c r="M144" s="59">
        <f ca="1">IFERROR(__xludf.DUMMYFUNCTION("IMPORTRANGE(""https://docs.google.com/spreadsheets/d/1yhBcrRPreicbMKl9Bu_Snb2-OcQAF62RKfhTLhJ2eAA/edit?usp=sharing"",""กาฬสินธุ์!M144"")+IMPORTRANGE(""https://docs.google.com/spreadsheets/d/1aHkj4IaQMThhwWwevcOymEh837vdxeC_PycurhTbGFA/edit?usp=sharing"","&amp;"""ขอนแก่น!M144"")+IMPORTRANGE(""https://docs.google.com/spreadsheets/d/1FvTu2DsIWUjP6WCWra38Bkj_oOl_sOMf14r5Fg5srxU/edit?usp=sharing"",""ชัยภูมิ!M144"")+IMPORTRANGE(""https://docs.google.com/spreadsheets/d/1XVB7oCJ3pr-vBUdflwPQ8Z2LlzhnCvZaaYjAfP-647E/edit"&amp;"?usp=sharing"",""นครพนม!M144"")+IMPORTRANGE(""https://docs.google.com/spreadsheets/d/1Mnpb-8PYAgn85W6KOTD40hc_Xc55CaLfHoGAbrZ8tls/edit?usp=sharing"",""นครราชสีมา!M144"")+IMPORTRANGE(""https://docs.google.com/spreadsheets/d/1xoDLGBv9CYbyosIhki0kTq6IpYNj-gp"&amp;"jxfobnaDiut0/edit?usp=sharing"",""บึงกาฬ!M144"")+IMPORTRANGE(""https://docs.google.com/spreadsheets/d/1MMPq-JyI6DSgQETxuSiXkesP-P7JHuemnE6QJIa-Nlw/edit?usp=sharing"",""บุรีรัมย์!M144"")+IMPORTRANGE(""https://docs.google.com/spreadsheets/d/1l6IZ8xUPgMrESzc"&amp;"TYwhA1k_tPjeQjJPTqlm8Gd9eU5g/edit?usp=sharing"",""มหาสารคาม!M144"")+IMPORTRANGE(""https://docs.google.com/spreadsheets/d/1uB74YLqNjWX6FObjekfB2NtSYigTQyR2rq9u4Ub2Sq4/edit?usp=sharing"",""มุกดาหาร!M144"")+IMPORTRANGE(""https://docs.google.com/spreadsheets/"&amp;"d/1NexK3geCPxCTO1fzNF8dPec7yZyUx3OaWkFBC9HsQOo/edit?usp=sharing"",""ยโสธร!M144"")+IMPORTRANGE(""https://docs.google.com/spreadsheets/d/1v_cJrbBlyqmnHPReHk44g9NrMRdENNlSy_E_c5M9fIg/edit?usp=sharing"",""ร้อยเอ็ด!M144"")+IMPORTRANGE(""https://docs.google.com"&amp;"/spreadsheets/d/1Ul4RCpCX66NxYADU1QpwAPjOmBzW64SsT11s1wzXw_c/edit?usp=sharing"",""เลย!M144"")+IMPORTRANGE(""https://docs.google.com/spreadsheets/d/1bRrNKwbHDVktQG10isr5vbWRtt5spIZPpkOSWgbT5ug/edit?usp=sharing"",""ศรีสะเกษ!M144"")+IMPORTRANGE(""https://doc"&amp;"s.google.com/spreadsheets/d/17P34_Ow5kFBfdQD0qspb2UuPX5zpi6WMrQzslghyvrI/edit?usp=sharing"",""สกลนคร!M144"")+IMPORTRANGE(""https://docs.google.com/spreadsheets/d/1yswqbM3-AEpThF3ZSUa1AcmHnmRTF1vlJ1CZGcJ8YuU/edit?usp=sharing"",""สุรินทร์!M144"")+IMPORTRANG"&amp;"E(""https://docs.google.com/spreadsheets/d/13JHU_EFbsQOUQ0JSQ3dWy1VTRosIWcDq6Nc99z2qzdc/edit?usp=sharing"",""หนองคาย!M144"")+IMPORTRANGE(""https://docs.google.com/spreadsheets/d/1Hx73zIEgVdDZZaYSTc46Dqv64atFhpr3GelxLbaIN8A/edit?usp=sharing"",""หนองบัวลำภู"&amp;"!M144"")+IMPORTRANGE(""https://docs.google.com/spreadsheets/d/1lFxr3ctmjFN90yc-xV6jrQ9Ty8BKYVBWnAZ15wcNIJc/edit?usp=sharing"",""อำนาจเจริญ!M144"")+IMPORTRANGE(""https://docs.google.com/spreadsheets/d/1gF7RJpRnL-1oyjyeWxs5SFWEH7y8ahOZsQlyp2A2e-A/edit?usp=s"&amp;"haring"",""อุดรธานี!M144"")+IMPORTRANGE(""https://docs.google.com/spreadsheets/d/1kfLP0j3INXRa8bTDpcEmoWewMBV61jlFlfzczfjWIgc/edit?usp=sharing"",""อุบลราชธานี!M144"")"),621300)</f>
        <v>621300</v>
      </c>
      <c r="N144" s="59">
        <f ca="1">IFERROR(__xludf.DUMMYFUNCTION("IMPORTRANGE(""https://docs.google.com/spreadsheets/d/1yhBcrRPreicbMKl9Bu_Snb2-OcQAF62RKfhTLhJ2eAA/edit?usp=sharing"",""กาฬสินธุ์!N144"")+IMPORTRANGE(""https://docs.google.com/spreadsheets/d/1aHkj4IaQMThhwWwevcOymEh837vdxeC_PycurhTbGFA/edit?usp=sharing"","&amp;"""ขอนแก่น!N144"")+IMPORTRANGE(""https://docs.google.com/spreadsheets/d/1FvTu2DsIWUjP6WCWra38Bkj_oOl_sOMf14r5Fg5srxU/edit?usp=sharing"",""ชัยภูมิ!N144"")+IMPORTRANGE(""https://docs.google.com/spreadsheets/d/1XVB7oCJ3pr-vBUdflwPQ8Z2LlzhnCvZaaYjAfP-647E/edit"&amp;"?usp=sharing"",""นครพนม!N144"")+IMPORTRANGE(""https://docs.google.com/spreadsheets/d/1Mnpb-8PYAgn85W6KOTD40hc_Xc55CaLfHoGAbrZ8tls/edit?usp=sharing"",""นครราชสีมา!N144"")+IMPORTRANGE(""https://docs.google.com/spreadsheets/d/1xoDLGBv9CYbyosIhki0kTq6IpYNj-gp"&amp;"jxfobnaDiut0/edit?usp=sharing"",""บึงกาฬ!N144"")+IMPORTRANGE(""https://docs.google.com/spreadsheets/d/1MMPq-JyI6DSgQETxuSiXkesP-P7JHuemnE6QJIa-Nlw/edit?usp=sharing"",""บุรีรัมย์!N144"")+IMPORTRANGE(""https://docs.google.com/spreadsheets/d/1l6IZ8xUPgMrESzc"&amp;"TYwhA1k_tPjeQjJPTqlm8Gd9eU5g/edit?usp=sharing"",""มหาสารคาม!N144"")+IMPORTRANGE(""https://docs.google.com/spreadsheets/d/1uB74YLqNjWX6FObjekfB2NtSYigTQyR2rq9u4Ub2Sq4/edit?usp=sharing"",""มุกดาหาร!N144"")+IMPORTRANGE(""https://docs.google.com/spreadsheets/"&amp;"d/1NexK3geCPxCTO1fzNF8dPec7yZyUx3OaWkFBC9HsQOo/edit?usp=sharing"",""ยโสธร!N144"")+IMPORTRANGE(""https://docs.google.com/spreadsheets/d/1v_cJrbBlyqmnHPReHk44g9NrMRdENNlSy_E_c5M9fIg/edit?usp=sharing"",""ร้อยเอ็ด!N144"")+IMPORTRANGE(""https://docs.google.com"&amp;"/spreadsheets/d/1Ul4RCpCX66NxYADU1QpwAPjOmBzW64SsT11s1wzXw_c/edit?usp=sharing"",""เลย!N144"")+IMPORTRANGE(""https://docs.google.com/spreadsheets/d/1bRrNKwbHDVktQG10isr5vbWRtt5spIZPpkOSWgbT5ug/edit?usp=sharing"",""ศรีสะเกษ!N144"")+IMPORTRANGE(""https://doc"&amp;"s.google.com/spreadsheets/d/17P34_Ow5kFBfdQD0qspb2UuPX5zpi6WMrQzslghyvrI/edit?usp=sharing"",""สกลนคร!N144"")+IMPORTRANGE(""https://docs.google.com/spreadsheets/d/1yswqbM3-AEpThF3ZSUa1AcmHnmRTF1vlJ1CZGcJ8YuU/edit?usp=sharing"",""สุรินทร์!N144"")+IMPORTRANG"&amp;"E(""https://docs.google.com/spreadsheets/d/13JHU_EFbsQOUQ0JSQ3dWy1VTRosIWcDq6Nc99z2qzdc/edit?usp=sharing"",""หนองคาย!N144"")+IMPORTRANGE(""https://docs.google.com/spreadsheets/d/1Hx73zIEgVdDZZaYSTc46Dqv64atFhpr3GelxLbaIN8A/edit?usp=sharing"",""หนองบัวลำภู"&amp;"!N144"")+IMPORTRANGE(""https://docs.google.com/spreadsheets/d/1lFxr3ctmjFN90yc-xV6jrQ9Ty8BKYVBWnAZ15wcNIJc/edit?usp=sharing"",""อำนาจเจริญ!N144"")+IMPORTRANGE(""https://docs.google.com/spreadsheets/d/1gF7RJpRnL-1oyjyeWxs5SFWEH7y8ahOZsQlyp2A2e-A/edit?usp=s"&amp;"haring"",""อุดรธานี!N144"")+IMPORTRANGE(""https://docs.google.com/spreadsheets/d/1kfLP0j3INXRa8bTDpcEmoWewMBV61jlFlfzczfjWIgc/edit?usp=sharing"",""อุบลราชธานี!N144"")"),161285.65)</f>
        <v>161285.65</v>
      </c>
      <c r="O144" s="59">
        <f t="shared" ca="1" si="66"/>
        <v>20.870296325051761</v>
      </c>
      <c r="P144" s="59">
        <f t="shared" ca="1" si="67"/>
        <v>25.95938355061967</v>
      </c>
    </row>
    <row r="145" spans="1:16" ht="18.75" x14ac:dyDescent="0.25">
      <c r="A145" s="157"/>
      <c r="B145" s="53"/>
      <c r="C145" s="53"/>
      <c r="D145" s="54" t="s">
        <v>21</v>
      </c>
      <c r="E145" s="53"/>
      <c r="F145" s="53"/>
      <c r="G145" s="55"/>
      <c r="H145" s="166" t="s">
        <v>12</v>
      </c>
      <c r="I145" s="164"/>
      <c r="J145" s="164"/>
      <c r="K145" s="165"/>
      <c r="L145" s="59">
        <f t="shared" ref="L145:N145" ca="1" si="71">L146+L147</f>
        <v>0</v>
      </c>
      <c r="M145" s="59">
        <f t="shared" ca="1" si="71"/>
        <v>0</v>
      </c>
      <c r="N145" s="59">
        <f t="shared" ca="1" si="71"/>
        <v>0</v>
      </c>
      <c r="O145" s="59">
        <f t="shared" ca="1" si="66"/>
        <v>0</v>
      </c>
      <c r="P145" s="59">
        <f t="shared" ca="1" si="67"/>
        <v>0</v>
      </c>
    </row>
    <row r="146" spans="1:16" ht="18.75" x14ac:dyDescent="0.25">
      <c r="A146" s="157"/>
      <c r="B146" s="53"/>
      <c r="C146" s="53"/>
      <c r="D146" s="53"/>
      <c r="E146" s="60" t="s">
        <v>18</v>
      </c>
      <c r="F146" s="53"/>
      <c r="G146" s="55"/>
      <c r="H146" s="163" t="s">
        <v>12</v>
      </c>
      <c r="I146" s="164"/>
      <c r="J146" s="164"/>
      <c r="K146" s="165"/>
      <c r="L146" s="59">
        <f ca="1">IFERROR(__xludf.DUMMYFUNCTION("IMPORTRANGE(""https://docs.google.com/spreadsheets/d/1yhBcrRPreicbMKl9Bu_Snb2-OcQAF62RKfhTLhJ2eAA/edit?usp=sharing"",""กาฬสินธุ์!L146"")+IMPORTRANGE(""https://docs.google.com/spreadsheets/d/1aHkj4IaQMThhwWwevcOymEh837vdxeC_PycurhTbGFA/edit?usp=sharing"","&amp;"""ขอนแก่น!L146"")+IMPORTRANGE(""https://docs.google.com/spreadsheets/d/1FvTu2DsIWUjP6WCWra38Bkj_oOl_sOMf14r5Fg5srxU/edit?usp=sharing"",""ชัยภูมิ!L146"")+IMPORTRANGE(""https://docs.google.com/spreadsheets/d/1XVB7oCJ3pr-vBUdflwPQ8Z2LlzhnCvZaaYjAfP-647E/edit"&amp;"?usp=sharing"",""นครพนม!L146"")+IMPORTRANGE(""https://docs.google.com/spreadsheets/d/1Mnpb-8PYAgn85W6KOTD40hc_Xc55CaLfHoGAbrZ8tls/edit?usp=sharing"",""นครราชสีมา!L146"")+IMPORTRANGE(""https://docs.google.com/spreadsheets/d/1xoDLGBv9CYbyosIhki0kTq6IpYNj-gp"&amp;"jxfobnaDiut0/edit?usp=sharing"",""บึงกาฬ!L146"")+IMPORTRANGE(""https://docs.google.com/spreadsheets/d/1MMPq-JyI6DSgQETxuSiXkesP-P7JHuemnE6QJIa-Nlw/edit?usp=sharing"",""บุรีรัมย์!L146"")+IMPORTRANGE(""https://docs.google.com/spreadsheets/d/1l6IZ8xUPgMrESzc"&amp;"TYwhA1k_tPjeQjJPTqlm8Gd9eU5g/edit?usp=sharing"",""มหาสารคาม!L146"")+IMPORTRANGE(""https://docs.google.com/spreadsheets/d/1uB74YLqNjWX6FObjekfB2NtSYigTQyR2rq9u4Ub2Sq4/edit?usp=sharing"",""มุกดาหาร!L146"")+IMPORTRANGE(""https://docs.google.com/spreadsheets/"&amp;"d/1NexK3geCPxCTO1fzNF8dPec7yZyUx3OaWkFBC9HsQOo/edit?usp=sharing"",""ยโสธร!L146"")+IMPORTRANGE(""https://docs.google.com/spreadsheets/d/1v_cJrbBlyqmnHPReHk44g9NrMRdENNlSy_E_c5M9fIg/edit?usp=sharing"",""ร้อยเอ็ด!L146"")+IMPORTRANGE(""https://docs.google.com"&amp;"/spreadsheets/d/1Ul4RCpCX66NxYADU1QpwAPjOmBzW64SsT11s1wzXw_c/edit?usp=sharing"",""เลย!L146"")+IMPORTRANGE(""https://docs.google.com/spreadsheets/d/1bRrNKwbHDVktQG10isr5vbWRtt5spIZPpkOSWgbT5ug/edit?usp=sharing"",""ศรีสะเกษ!L146"")+IMPORTRANGE(""https://doc"&amp;"s.google.com/spreadsheets/d/17P34_Ow5kFBfdQD0qspb2UuPX5zpi6WMrQzslghyvrI/edit?usp=sharing"",""สกลนคร!L146"")+IMPORTRANGE(""https://docs.google.com/spreadsheets/d/1yswqbM3-AEpThF3ZSUa1AcmHnmRTF1vlJ1CZGcJ8YuU/edit?usp=sharing"",""สุรินทร์!L146"")+IMPORTRANG"&amp;"E(""https://docs.google.com/spreadsheets/d/13JHU_EFbsQOUQ0JSQ3dWy1VTRosIWcDq6Nc99z2qzdc/edit?usp=sharing"",""หนองคาย!L146"")+IMPORTRANGE(""https://docs.google.com/spreadsheets/d/1Hx73zIEgVdDZZaYSTc46Dqv64atFhpr3GelxLbaIN8A/edit?usp=sharing"",""หนองบัวลำภู"&amp;"!L146"")+IMPORTRANGE(""https://docs.google.com/spreadsheets/d/1lFxr3ctmjFN90yc-xV6jrQ9Ty8BKYVBWnAZ15wcNIJc/edit?usp=sharing"",""อำนาจเจริญ!L146"")+IMPORTRANGE(""https://docs.google.com/spreadsheets/d/1gF7RJpRnL-1oyjyeWxs5SFWEH7y8ahOZsQlyp2A2e-A/edit?usp=s"&amp;"haring"",""อุดรธานี!L146"")+IMPORTRANGE(""https://docs.google.com/spreadsheets/d/1kfLP0j3INXRa8bTDpcEmoWewMBV61jlFlfzczfjWIgc/edit?usp=sharing"",""อุบลราชธานี!L146"")"),0)</f>
        <v>0</v>
      </c>
      <c r="M146" s="59">
        <f ca="1">IFERROR(__xludf.DUMMYFUNCTION("IMPORTRANGE(""https://docs.google.com/spreadsheets/d/1yhBcrRPreicbMKl9Bu_Snb2-OcQAF62RKfhTLhJ2eAA/edit?usp=sharing"",""กาฬสินธุ์!M146"")+IMPORTRANGE(""https://docs.google.com/spreadsheets/d/1aHkj4IaQMThhwWwevcOymEh837vdxeC_PycurhTbGFA/edit?usp=sharing"","&amp;"""ขอนแก่น!M146"")+IMPORTRANGE(""https://docs.google.com/spreadsheets/d/1FvTu2DsIWUjP6WCWra38Bkj_oOl_sOMf14r5Fg5srxU/edit?usp=sharing"",""ชัยภูมิ!M146"")+IMPORTRANGE(""https://docs.google.com/spreadsheets/d/1XVB7oCJ3pr-vBUdflwPQ8Z2LlzhnCvZaaYjAfP-647E/edit"&amp;"?usp=sharing"",""นครพนม!M146"")+IMPORTRANGE(""https://docs.google.com/spreadsheets/d/1Mnpb-8PYAgn85W6KOTD40hc_Xc55CaLfHoGAbrZ8tls/edit?usp=sharing"",""นครราชสีมา!M146"")+IMPORTRANGE(""https://docs.google.com/spreadsheets/d/1xoDLGBv9CYbyosIhki0kTq6IpYNj-gp"&amp;"jxfobnaDiut0/edit?usp=sharing"",""บึงกาฬ!M146"")+IMPORTRANGE(""https://docs.google.com/spreadsheets/d/1MMPq-JyI6DSgQETxuSiXkesP-P7JHuemnE6QJIa-Nlw/edit?usp=sharing"",""บุรีรัมย์!M146"")+IMPORTRANGE(""https://docs.google.com/spreadsheets/d/1l6IZ8xUPgMrESzc"&amp;"TYwhA1k_tPjeQjJPTqlm8Gd9eU5g/edit?usp=sharing"",""มหาสารคาม!M146"")+IMPORTRANGE(""https://docs.google.com/spreadsheets/d/1uB74YLqNjWX6FObjekfB2NtSYigTQyR2rq9u4Ub2Sq4/edit?usp=sharing"",""มุกดาหาร!M146"")+IMPORTRANGE(""https://docs.google.com/spreadsheets/"&amp;"d/1NexK3geCPxCTO1fzNF8dPec7yZyUx3OaWkFBC9HsQOo/edit?usp=sharing"",""ยโสธร!M146"")+IMPORTRANGE(""https://docs.google.com/spreadsheets/d/1v_cJrbBlyqmnHPReHk44g9NrMRdENNlSy_E_c5M9fIg/edit?usp=sharing"",""ร้อยเอ็ด!M146"")+IMPORTRANGE(""https://docs.google.com"&amp;"/spreadsheets/d/1Ul4RCpCX66NxYADU1QpwAPjOmBzW64SsT11s1wzXw_c/edit?usp=sharing"",""เลย!M146"")+IMPORTRANGE(""https://docs.google.com/spreadsheets/d/1bRrNKwbHDVktQG10isr5vbWRtt5spIZPpkOSWgbT5ug/edit?usp=sharing"",""ศรีสะเกษ!M146"")+IMPORTRANGE(""https://doc"&amp;"s.google.com/spreadsheets/d/17P34_Ow5kFBfdQD0qspb2UuPX5zpi6WMrQzslghyvrI/edit?usp=sharing"",""สกลนคร!M146"")+IMPORTRANGE(""https://docs.google.com/spreadsheets/d/1yswqbM3-AEpThF3ZSUa1AcmHnmRTF1vlJ1CZGcJ8YuU/edit?usp=sharing"",""สุรินทร์!M146"")+IMPORTRANG"&amp;"E(""https://docs.google.com/spreadsheets/d/13JHU_EFbsQOUQ0JSQ3dWy1VTRosIWcDq6Nc99z2qzdc/edit?usp=sharing"",""หนองคาย!M146"")+IMPORTRANGE(""https://docs.google.com/spreadsheets/d/1Hx73zIEgVdDZZaYSTc46Dqv64atFhpr3GelxLbaIN8A/edit?usp=sharing"",""หนองบัวลำภู"&amp;"!M146"")+IMPORTRANGE(""https://docs.google.com/spreadsheets/d/1lFxr3ctmjFN90yc-xV6jrQ9Ty8BKYVBWnAZ15wcNIJc/edit?usp=sharing"",""อำนาจเจริญ!M146"")+IMPORTRANGE(""https://docs.google.com/spreadsheets/d/1gF7RJpRnL-1oyjyeWxs5SFWEH7y8ahOZsQlyp2A2e-A/edit?usp=s"&amp;"haring"",""อุดรธานี!M146"")+IMPORTRANGE(""https://docs.google.com/spreadsheets/d/1kfLP0j3INXRa8bTDpcEmoWewMBV61jlFlfzczfjWIgc/edit?usp=sharing"",""อุบลราชธานี!M146"")"),0)</f>
        <v>0</v>
      </c>
      <c r="N146" s="59">
        <f ca="1">IFERROR(__xludf.DUMMYFUNCTION("IMPORTRANGE(""https://docs.google.com/spreadsheets/d/1yhBcrRPreicbMKl9Bu_Snb2-OcQAF62RKfhTLhJ2eAA/edit?usp=sharing"",""กาฬสินธุ์!N146"")+IMPORTRANGE(""https://docs.google.com/spreadsheets/d/1aHkj4IaQMThhwWwevcOymEh837vdxeC_PycurhTbGFA/edit?usp=sharing"","&amp;"""ขอนแก่น!N146"")+IMPORTRANGE(""https://docs.google.com/spreadsheets/d/1FvTu2DsIWUjP6WCWra38Bkj_oOl_sOMf14r5Fg5srxU/edit?usp=sharing"",""ชัยภูมิ!N146"")+IMPORTRANGE(""https://docs.google.com/spreadsheets/d/1XVB7oCJ3pr-vBUdflwPQ8Z2LlzhnCvZaaYjAfP-647E/edit"&amp;"?usp=sharing"",""นครพนม!N146"")+IMPORTRANGE(""https://docs.google.com/spreadsheets/d/1Mnpb-8PYAgn85W6KOTD40hc_Xc55CaLfHoGAbrZ8tls/edit?usp=sharing"",""นครราชสีมา!N146"")+IMPORTRANGE(""https://docs.google.com/spreadsheets/d/1xoDLGBv9CYbyosIhki0kTq6IpYNj-gp"&amp;"jxfobnaDiut0/edit?usp=sharing"",""บึงกาฬ!N146"")+IMPORTRANGE(""https://docs.google.com/spreadsheets/d/1MMPq-JyI6DSgQETxuSiXkesP-P7JHuemnE6QJIa-Nlw/edit?usp=sharing"",""บุรีรัมย์!N146"")+IMPORTRANGE(""https://docs.google.com/spreadsheets/d/1l6IZ8xUPgMrESzc"&amp;"TYwhA1k_tPjeQjJPTqlm8Gd9eU5g/edit?usp=sharing"",""มหาสารคาม!N146"")+IMPORTRANGE(""https://docs.google.com/spreadsheets/d/1uB74YLqNjWX6FObjekfB2NtSYigTQyR2rq9u4Ub2Sq4/edit?usp=sharing"",""มุกดาหาร!N146"")+IMPORTRANGE(""https://docs.google.com/spreadsheets/"&amp;"d/1NexK3geCPxCTO1fzNF8dPec7yZyUx3OaWkFBC9HsQOo/edit?usp=sharing"",""ยโสธร!N146"")+IMPORTRANGE(""https://docs.google.com/spreadsheets/d/1v_cJrbBlyqmnHPReHk44g9NrMRdENNlSy_E_c5M9fIg/edit?usp=sharing"",""ร้อยเอ็ด!N146"")+IMPORTRANGE(""https://docs.google.com"&amp;"/spreadsheets/d/1Ul4RCpCX66NxYADU1QpwAPjOmBzW64SsT11s1wzXw_c/edit?usp=sharing"",""เลย!N146"")+IMPORTRANGE(""https://docs.google.com/spreadsheets/d/1bRrNKwbHDVktQG10isr5vbWRtt5spIZPpkOSWgbT5ug/edit?usp=sharing"",""ศรีสะเกษ!N146"")+IMPORTRANGE(""https://doc"&amp;"s.google.com/spreadsheets/d/17P34_Ow5kFBfdQD0qspb2UuPX5zpi6WMrQzslghyvrI/edit?usp=sharing"",""สกลนคร!N146"")+IMPORTRANGE(""https://docs.google.com/spreadsheets/d/1yswqbM3-AEpThF3ZSUa1AcmHnmRTF1vlJ1CZGcJ8YuU/edit?usp=sharing"",""สุรินทร์!N146"")+IMPORTRANG"&amp;"E(""https://docs.google.com/spreadsheets/d/13JHU_EFbsQOUQ0JSQ3dWy1VTRosIWcDq6Nc99z2qzdc/edit?usp=sharing"",""หนองคาย!N146"")+IMPORTRANGE(""https://docs.google.com/spreadsheets/d/1Hx73zIEgVdDZZaYSTc46Dqv64atFhpr3GelxLbaIN8A/edit?usp=sharing"",""หนองบัวลำภู"&amp;"!N146"")+IMPORTRANGE(""https://docs.google.com/spreadsheets/d/1lFxr3ctmjFN90yc-xV6jrQ9Ty8BKYVBWnAZ15wcNIJc/edit?usp=sharing"",""อำนาจเจริญ!N146"")+IMPORTRANGE(""https://docs.google.com/spreadsheets/d/1gF7RJpRnL-1oyjyeWxs5SFWEH7y8ahOZsQlyp2A2e-A/edit?usp=s"&amp;"haring"",""อุดรธานี!N146"")+IMPORTRANGE(""https://docs.google.com/spreadsheets/d/1kfLP0j3INXRa8bTDpcEmoWewMBV61jlFlfzczfjWIgc/edit?usp=sharing"",""อุบลราชธานี!N146"")"),0)</f>
        <v>0</v>
      </c>
      <c r="O146" s="59">
        <f t="shared" ca="1" si="66"/>
        <v>0</v>
      </c>
      <c r="P146" s="59">
        <f t="shared" ca="1" si="67"/>
        <v>0</v>
      </c>
    </row>
    <row r="147" spans="1:16" ht="18.75" x14ac:dyDescent="0.25">
      <c r="A147" s="157"/>
      <c r="B147" s="53"/>
      <c r="C147" s="53"/>
      <c r="D147" s="53"/>
      <c r="E147" s="60" t="s">
        <v>19</v>
      </c>
      <c r="F147" s="53"/>
      <c r="G147" s="55"/>
      <c r="H147" s="166" t="s">
        <v>12</v>
      </c>
      <c r="I147" s="164"/>
      <c r="J147" s="164"/>
      <c r="K147" s="165"/>
      <c r="L147" s="59">
        <f ca="1">IFERROR(__xludf.DUMMYFUNCTION("IMPORTRANGE(""https://docs.google.com/spreadsheets/d/1yhBcrRPreicbMKl9Bu_Snb2-OcQAF62RKfhTLhJ2eAA/edit?usp=sharing"",""กาฬสินธุ์!L147"")+IMPORTRANGE(""https://docs.google.com/spreadsheets/d/1aHkj4IaQMThhwWwevcOymEh837vdxeC_PycurhTbGFA/edit?usp=sharing"","&amp;"""ขอนแก่น!L147"")+IMPORTRANGE(""https://docs.google.com/spreadsheets/d/1FvTu2DsIWUjP6WCWra38Bkj_oOl_sOMf14r5Fg5srxU/edit?usp=sharing"",""ชัยภูมิ!L147"")+IMPORTRANGE(""https://docs.google.com/spreadsheets/d/1XVB7oCJ3pr-vBUdflwPQ8Z2LlzhnCvZaaYjAfP-647E/edit"&amp;"?usp=sharing"",""นครพนม!L147"")+IMPORTRANGE(""https://docs.google.com/spreadsheets/d/1Mnpb-8PYAgn85W6KOTD40hc_Xc55CaLfHoGAbrZ8tls/edit?usp=sharing"",""นครราชสีมา!L147"")+IMPORTRANGE(""https://docs.google.com/spreadsheets/d/1xoDLGBv9CYbyosIhki0kTq6IpYNj-gp"&amp;"jxfobnaDiut0/edit?usp=sharing"",""บึงกาฬ!L147"")+IMPORTRANGE(""https://docs.google.com/spreadsheets/d/1MMPq-JyI6DSgQETxuSiXkesP-P7JHuemnE6QJIa-Nlw/edit?usp=sharing"",""บุรีรัมย์!L147"")+IMPORTRANGE(""https://docs.google.com/spreadsheets/d/1l6IZ8xUPgMrESzc"&amp;"TYwhA1k_tPjeQjJPTqlm8Gd9eU5g/edit?usp=sharing"",""มหาสารคาม!L147"")+IMPORTRANGE(""https://docs.google.com/spreadsheets/d/1uB74YLqNjWX6FObjekfB2NtSYigTQyR2rq9u4Ub2Sq4/edit?usp=sharing"",""มุกดาหาร!L147"")+IMPORTRANGE(""https://docs.google.com/spreadsheets/"&amp;"d/1NexK3geCPxCTO1fzNF8dPec7yZyUx3OaWkFBC9HsQOo/edit?usp=sharing"",""ยโสธร!L147"")+IMPORTRANGE(""https://docs.google.com/spreadsheets/d/1v_cJrbBlyqmnHPReHk44g9NrMRdENNlSy_E_c5M9fIg/edit?usp=sharing"",""ร้อยเอ็ด!L147"")+IMPORTRANGE(""https://docs.google.com"&amp;"/spreadsheets/d/1Ul4RCpCX66NxYADU1QpwAPjOmBzW64SsT11s1wzXw_c/edit?usp=sharing"",""เลย!L147"")+IMPORTRANGE(""https://docs.google.com/spreadsheets/d/1bRrNKwbHDVktQG10isr5vbWRtt5spIZPpkOSWgbT5ug/edit?usp=sharing"",""ศรีสะเกษ!L147"")+IMPORTRANGE(""https://doc"&amp;"s.google.com/spreadsheets/d/17P34_Ow5kFBfdQD0qspb2UuPX5zpi6WMrQzslghyvrI/edit?usp=sharing"",""สกลนคร!L147"")+IMPORTRANGE(""https://docs.google.com/spreadsheets/d/1yswqbM3-AEpThF3ZSUa1AcmHnmRTF1vlJ1CZGcJ8YuU/edit?usp=sharing"",""สุรินทร์!L147"")+IMPORTRANG"&amp;"E(""https://docs.google.com/spreadsheets/d/13JHU_EFbsQOUQ0JSQ3dWy1VTRosIWcDq6Nc99z2qzdc/edit?usp=sharing"",""หนองคาย!L147"")+IMPORTRANGE(""https://docs.google.com/spreadsheets/d/1Hx73zIEgVdDZZaYSTc46Dqv64atFhpr3GelxLbaIN8A/edit?usp=sharing"",""หนองบัวลำภู"&amp;"!L147"")+IMPORTRANGE(""https://docs.google.com/spreadsheets/d/1lFxr3ctmjFN90yc-xV6jrQ9Ty8BKYVBWnAZ15wcNIJc/edit?usp=sharing"",""อำนาจเจริญ!L147"")+IMPORTRANGE(""https://docs.google.com/spreadsheets/d/1gF7RJpRnL-1oyjyeWxs5SFWEH7y8ahOZsQlyp2A2e-A/edit?usp=s"&amp;"haring"",""อุดรธานี!L147"")+IMPORTRANGE(""https://docs.google.com/spreadsheets/d/1kfLP0j3INXRa8bTDpcEmoWewMBV61jlFlfzczfjWIgc/edit?usp=sharing"",""อุบลราชธานี!L147"")"),0)</f>
        <v>0</v>
      </c>
      <c r="M147" s="59">
        <f ca="1">IFERROR(__xludf.DUMMYFUNCTION("IMPORTRANGE(""https://docs.google.com/spreadsheets/d/1yhBcrRPreicbMKl9Bu_Snb2-OcQAF62RKfhTLhJ2eAA/edit?usp=sharing"",""กาฬสินธุ์!M147"")+IMPORTRANGE(""https://docs.google.com/spreadsheets/d/1aHkj4IaQMThhwWwevcOymEh837vdxeC_PycurhTbGFA/edit?usp=sharing"","&amp;"""ขอนแก่น!M147"")+IMPORTRANGE(""https://docs.google.com/spreadsheets/d/1FvTu2DsIWUjP6WCWra38Bkj_oOl_sOMf14r5Fg5srxU/edit?usp=sharing"",""ชัยภูมิ!M147"")+IMPORTRANGE(""https://docs.google.com/spreadsheets/d/1XVB7oCJ3pr-vBUdflwPQ8Z2LlzhnCvZaaYjAfP-647E/edit"&amp;"?usp=sharing"",""นครพนม!M147"")+IMPORTRANGE(""https://docs.google.com/spreadsheets/d/1Mnpb-8PYAgn85W6KOTD40hc_Xc55CaLfHoGAbrZ8tls/edit?usp=sharing"",""นครราชสีมา!M147"")+IMPORTRANGE(""https://docs.google.com/spreadsheets/d/1xoDLGBv9CYbyosIhki0kTq6IpYNj-gp"&amp;"jxfobnaDiut0/edit?usp=sharing"",""บึงกาฬ!M147"")+IMPORTRANGE(""https://docs.google.com/spreadsheets/d/1MMPq-JyI6DSgQETxuSiXkesP-P7JHuemnE6QJIa-Nlw/edit?usp=sharing"",""บุรีรัมย์!M147"")+IMPORTRANGE(""https://docs.google.com/spreadsheets/d/1l6IZ8xUPgMrESzc"&amp;"TYwhA1k_tPjeQjJPTqlm8Gd9eU5g/edit?usp=sharing"",""มหาสารคาม!M147"")+IMPORTRANGE(""https://docs.google.com/spreadsheets/d/1uB74YLqNjWX6FObjekfB2NtSYigTQyR2rq9u4Ub2Sq4/edit?usp=sharing"",""มุกดาหาร!M147"")+IMPORTRANGE(""https://docs.google.com/spreadsheets/"&amp;"d/1NexK3geCPxCTO1fzNF8dPec7yZyUx3OaWkFBC9HsQOo/edit?usp=sharing"",""ยโสธร!M147"")+IMPORTRANGE(""https://docs.google.com/spreadsheets/d/1v_cJrbBlyqmnHPReHk44g9NrMRdENNlSy_E_c5M9fIg/edit?usp=sharing"",""ร้อยเอ็ด!M147"")+IMPORTRANGE(""https://docs.google.com"&amp;"/spreadsheets/d/1Ul4RCpCX66NxYADU1QpwAPjOmBzW64SsT11s1wzXw_c/edit?usp=sharing"",""เลย!M147"")+IMPORTRANGE(""https://docs.google.com/spreadsheets/d/1bRrNKwbHDVktQG10isr5vbWRtt5spIZPpkOSWgbT5ug/edit?usp=sharing"",""ศรีสะเกษ!M147"")+IMPORTRANGE(""https://doc"&amp;"s.google.com/spreadsheets/d/17P34_Ow5kFBfdQD0qspb2UuPX5zpi6WMrQzslghyvrI/edit?usp=sharing"",""สกลนคร!M147"")+IMPORTRANGE(""https://docs.google.com/spreadsheets/d/1yswqbM3-AEpThF3ZSUa1AcmHnmRTF1vlJ1CZGcJ8YuU/edit?usp=sharing"",""สุรินทร์!M147"")+IMPORTRANG"&amp;"E(""https://docs.google.com/spreadsheets/d/13JHU_EFbsQOUQ0JSQ3dWy1VTRosIWcDq6Nc99z2qzdc/edit?usp=sharing"",""หนองคาย!M147"")+IMPORTRANGE(""https://docs.google.com/spreadsheets/d/1Hx73zIEgVdDZZaYSTc46Dqv64atFhpr3GelxLbaIN8A/edit?usp=sharing"",""หนองบัวลำภู"&amp;"!M147"")+IMPORTRANGE(""https://docs.google.com/spreadsheets/d/1lFxr3ctmjFN90yc-xV6jrQ9Ty8BKYVBWnAZ15wcNIJc/edit?usp=sharing"",""อำนาจเจริญ!M147"")+IMPORTRANGE(""https://docs.google.com/spreadsheets/d/1gF7RJpRnL-1oyjyeWxs5SFWEH7y8ahOZsQlyp2A2e-A/edit?usp=s"&amp;"haring"",""อุดรธานี!M147"")+IMPORTRANGE(""https://docs.google.com/spreadsheets/d/1kfLP0j3INXRa8bTDpcEmoWewMBV61jlFlfzczfjWIgc/edit?usp=sharing"",""อุบลราชธานี!M147"")"),0)</f>
        <v>0</v>
      </c>
      <c r="N147" s="59">
        <f ca="1">IFERROR(__xludf.DUMMYFUNCTION("IMPORTRANGE(""https://docs.google.com/spreadsheets/d/1yhBcrRPreicbMKl9Bu_Snb2-OcQAF62RKfhTLhJ2eAA/edit?usp=sharing"",""กาฬสินธุ์!N147"")+IMPORTRANGE(""https://docs.google.com/spreadsheets/d/1aHkj4IaQMThhwWwevcOymEh837vdxeC_PycurhTbGFA/edit?usp=sharing"","&amp;"""ขอนแก่น!N147"")+IMPORTRANGE(""https://docs.google.com/spreadsheets/d/1FvTu2DsIWUjP6WCWra38Bkj_oOl_sOMf14r5Fg5srxU/edit?usp=sharing"",""ชัยภูมิ!N147"")+IMPORTRANGE(""https://docs.google.com/spreadsheets/d/1XVB7oCJ3pr-vBUdflwPQ8Z2LlzhnCvZaaYjAfP-647E/edit"&amp;"?usp=sharing"",""นครพนม!N147"")+IMPORTRANGE(""https://docs.google.com/spreadsheets/d/1Mnpb-8PYAgn85W6KOTD40hc_Xc55CaLfHoGAbrZ8tls/edit?usp=sharing"",""นครราชสีมา!N147"")+IMPORTRANGE(""https://docs.google.com/spreadsheets/d/1xoDLGBv9CYbyosIhki0kTq6IpYNj-gp"&amp;"jxfobnaDiut0/edit?usp=sharing"",""บึงกาฬ!N147"")+IMPORTRANGE(""https://docs.google.com/spreadsheets/d/1MMPq-JyI6DSgQETxuSiXkesP-P7JHuemnE6QJIa-Nlw/edit?usp=sharing"",""บุรีรัมย์!N147"")+IMPORTRANGE(""https://docs.google.com/spreadsheets/d/1l6IZ8xUPgMrESzc"&amp;"TYwhA1k_tPjeQjJPTqlm8Gd9eU5g/edit?usp=sharing"",""มหาสารคาม!N147"")+IMPORTRANGE(""https://docs.google.com/spreadsheets/d/1uB74YLqNjWX6FObjekfB2NtSYigTQyR2rq9u4Ub2Sq4/edit?usp=sharing"",""มุกดาหาร!N147"")+IMPORTRANGE(""https://docs.google.com/spreadsheets/"&amp;"d/1NexK3geCPxCTO1fzNF8dPec7yZyUx3OaWkFBC9HsQOo/edit?usp=sharing"",""ยโสธร!N147"")+IMPORTRANGE(""https://docs.google.com/spreadsheets/d/1v_cJrbBlyqmnHPReHk44g9NrMRdENNlSy_E_c5M9fIg/edit?usp=sharing"",""ร้อยเอ็ด!N147"")+IMPORTRANGE(""https://docs.google.com"&amp;"/spreadsheets/d/1Ul4RCpCX66NxYADU1QpwAPjOmBzW64SsT11s1wzXw_c/edit?usp=sharing"",""เลย!N147"")+IMPORTRANGE(""https://docs.google.com/spreadsheets/d/1bRrNKwbHDVktQG10isr5vbWRtt5spIZPpkOSWgbT5ug/edit?usp=sharing"",""ศรีสะเกษ!N147"")+IMPORTRANGE(""https://doc"&amp;"s.google.com/spreadsheets/d/17P34_Ow5kFBfdQD0qspb2UuPX5zpi6WMrQzslghyvrI/edit?usp=sharing"",""สกลนคร!N147"")+IMPORTRANGE(""https://docs.google.com/spreadsheets/d/1yswqbM3-AEpThF3ZSUa1AcmHnmRTF1vlJ1CZGcJ8YuU/edit?usp=sharing"",""สุรินทร์!N147"")+IMPORTRANG"&amp;"E(""https://docs.google.com/spreadsheets/d/13JHU_EFbsQOUQ0JSQ3dWy1VTRosIWcDq6Nc99z2qzdc/edit?usp=sharing"",""หนองคาย!N147"")+IMPORTRANGE(""https://docs.google.com/spreadsheets/d/1Hx73zIEgVdDZZaYSTc46Dqv64atFhpr3GelxLbaIN8A/edit?usp=sharing"",""หนองบัวลำภู"&amp;"!N147"")+IMPORTRANGE(""https://docs.google.com/spreadsheets/d/1lFxr3ctmjFN90yc-xV6jrQ9Ty8BKYVBWnAZ15wcNIJc/edit?usp=sharing"",""อำนาจเจริญ!N147"")+IMPORTRANGE(""https://docs.google.com/spreadsheets/d/1gF7RJpRnL-1oyjyeWxs5SFWEH7y8ahOZsQlyp2A2e-A/edit?usp=s"&amp;"haring"",""อุดรธานี!N147"")+IMPORTRANGE(""https://docs.google.com/spreadsheets/d/1kfLP0j3INXRa8bTDpcEmoWewMBV61jlFlfzczfjWIgc/edit?usp=sharing"",""อุบลราชธานี!N147"")"),0)</f>
        <v>0</v>
      </c>
      <c r="O147" s="59">
        <f t="shared" ca="1" si="66"/>
        <v>0</v>
      </c>
      <c r="P147" s="59">
        <f t="shared" ca="1" si="67"/>
        <v>0</v>
      </c>
    </row>
    <row r="148" spans="1:16" ht="19.5" x14ac:dyDescent="0.3">
      <c r="A148" s="167"/>
      <c r="B148" s="168"/>
      <c r="C148" s="158" t="s">
        <v>16</v>
      </c>
      <c r="D148" s="169" t="s">
        <v>36</v>
      </c>
      <c r="E148" s="170"/>
      <c r="F148" s="170"/>
      <c r="G148" s="171"/>
      <c r="H148" s="225"/>
      <c r="I148" s="57"/>
      <c r="J148" s="57"/>
      <c r="K148" s="58"/>
      <c r="L148" s="58"/>
      <c r="M148" s="58"/>
      <c r="N148" s="58"/>
      <c r="O148" s="58"/>
      <c r="P148" s="58"/>
    </row>
    <row r="149" spans="1:16" ht="18.75" x14ac:dyDescent="0.25">
      <c r="A149" s="157"/>
      <c r="B149" s="53"/>
      <c r="C149" s="53"/>
      <c r="D149" s="60" t="s">
        <v>57</v>
      </c>
      <c r="E149" s="53"/>
      <c r="F149" s="53"/>
      <c r="G149" s="55"/>
      <c r="H149" s="225"/>
      <c r="I149" s="57"/>
      <c r="J149" s="194">
        <f ca="1">IFERROR(__xludf.DUMMYFUNCTION("IMPORTRANGE(""https://docs.google.com/spreadsheets/d/1yhBcrRPreicbMKl9Bu_Snb2-OcQAF62RKfhTLhJ2eAA/edit?usp=sharing"",""กาฬสินธุ์!J149"")+IMPORTRANGE(""https://docs.google.com/spreadsheets/d/1aHkj4IaQMThhwWwevcOymEh837vdxeC_PycurhTbGFA/edit?usp=sharing"","&amp;"""ขอนแก่น!J149"")+IMPORTRANGE(""https://docs.google.com/spreadsheets/d/1FvTu2DsIWUjP6WCWra38Bkj_oOl_sOMf14r5Fg5srxU/edit?usp=sharing"",""ชัยภูมิ!J149"")+IMPORTRANGE(""https://docs.google.com/spreadsheets/d/1XVB7oCJ3pr-vBUdflwPQ8Z2LlzhnCvZaaYjAfP-647E/edit"&amp;"?usp=sharing"",""นครพนม!J149"")+IMPORTRANGE(""https://docs.google.com/spreadsheets/d/1Mnpb-8PYAgn85W6KOTD40hc_Xc55CaLfHoGAbrZ8tls/edit?usp=sharing"",""นครราชสีมา!J149"")+IMPORTRANGE(""https://docs.google.com/spreadsheets/d/1xoDLGBv9CYbyosIhki0kTq6IpYNj-gp"&amp;"jxfobnaDiut0/edit?usp=sharing"",""บึงกาฬ!J149"")+IMPORTRANGE(""https://docs.google.com/spreadsheets/d/1MMPq-JyI6DSgQETxuSiXkesP-P7JHuemnE6QJIa-Nlw/edit?usp=sharing"",""บุรีรัมย์!J149"")+IMPORTRANGE(""https://docs.google.com/spreadsheets/d/1l6IZ8xUPgMrESzc"&amp;"TYwhA1k_tPjeQjJPTqlm8Gd9eU5g/edit?usp=sharing"",""มหาสารคาม!J149"")+IMPORTRANGE(""https://docs.google.com/spreadsheets/d/1uB74YLqNjWX6FObjekfB2NtSYigTQyR2rq9u4Ub2Sq4/edit?usp=sharing"",""มุกดาหาร!J149"")+IMPORTRANGE(""https://docs.google.com/spreadsheets/"&amp;"d/1NexK3geCPxCTO1fzNF8dPec7yZyUx3OaWkFBC9HsQOo/edit?usp=sharing"",""ยโสธร!J149"")+IMPORTRANGE(""https://docs.google.com/spreadsheets/d/1v_cJrbBlyqmnHPReHk44g9NrMRdENNlSy_E_c5M9fIg/edit?usp=sharing"",""ร้อยเอ็ด!J149"")+IMPORTRANGE(""https://docs.google.com"&amp;"/spreadsheets/d/1Ul4RCpCX66NxYADU1QpwAPjOmBzW64SsT11s1wzXw_c/edit?usp=sharing"",""เลย!J149"")+IMPORTRANGE(""https://docs.google.com/spreadsheets/d/1bRrNKwbHDVktQG10isr5vbWRtt5spIZPpkOSWgbT5ug/edit?usp=sharing"",""ศรีสะเกษ!J149"")+IMPORTRANGE(""https://doc"&amp;"s.google.com/spreadsheets/d/17P34_Ow5kFBfdQD0qspb2UuPX5zpi6WMrQzslghyvrI/edit?usp=sharing"",""สกลนคร!J149"")+IMPORTRANGE(""https://docs.google.com/spreadsheets/d/1yswqbM3-AEpThF3ZSUa1AcmHnmRTF1vlJ1CZGcJ8YuU/edit?usp=sharing"",""สุรินทร์!J149"")+IMPORTRANG"&amp;"E(""https://docs.google.com/spreadsheets/d/13JHU_EFbsQOUQ0JSQ3dWy1VTRosIWcDq6Nc99z2qzdc/edit?usp=sharing"",""หนองคาย!J149"")+IMPORTRANGE(""https://docs.google.com/spreadsheets/d/1Hx73zIEgVdDZZaYSTc46Dqv64atFhpr3GelxLbaIN8A/edit?usp=sharing"",""หนองบัวลำภู"&amp;"!J149"")+IMPORTRANGE(""https://docs.google.com/spreadsheets/d/1lFxr3ctmjFN90yc-xV6jrQ9Ty8BKYVBWnAZ15wcNIJc/edit?usp=sharing"",""อำนาจเจริญ!J149"")+IMPORTRANGE(""https://docs.google.com/spreadsheets/d/1gF7RJpRnL-1oyjyeWxs5SFWEH7y8ahOZsQlyp2A2e-A/edit?usp=s"&amp;"haring"",""อุดรธานี!J149"")+IMPORTRANGE(""https://docs.google.com/spreadsheets/d/1kfLP0j3INXRa8bTDpcEmoWewMBV61jlFlfzczfjWIgc/edit?usp=sharing"",""อุบลราชธานี!J149"")"),0)</f>
        <v>0</v>
      </c>
      <c r="K149" s="58"/>
      <c r="L149" s="58"/>
      <c r="M149" s="58"/>
      <c r="N149" s="58"/>
      <c r="O149" s="58"/>
      <c r="P149" s="58"/>
    </row>
    <row r="150" spans="1:16" ht="19.5" x14ac:dyDescent="0.3">
      <c r="A150" s="226"/>
      <c r="B150" s="63"/>
      <c r="C150" s="63"/>
      <c r="D150" s="227"/>
      <c r="E150" s="228" t="s">
        <v>58</v>
      </c>
      <c r="F150" s="63"/>
      <c r="G150" s="65"/>
      <c r="H150" s="229" t="s">
        <v>33</v>
      </c>
      <c r="I150" s="230">
        <f ca="1">IFERROR(__xludf.DUMMYFUNCTION("IMPORTRANGE(""https://docs.google.com/spreadsheets/d/1yhBcrRPreicbMKl9Bu_Snb2-OcQAF62RKfhTLhJ2eAA/edit?usp=sharing"",""กาฬสินธุ์!I150"")+IMPORTRANGE(""https://docs.google.com/spreadsheets/d/1aHkj4IaQMThhwWwevcOymEh837vdxeC_PycurhTbGFA/edit?usp=sharing"","&amp;"""ขอนแก่น!I150"")+IMPORTRANGE(""https://docs.google.com/spreadsheets/d/1FvTu2DsIWUjP6WCWra38Bkj_oOl_sOMf14r5Fg5srxU/edit?usp=sharing"",""ชัยภูมิ!I150"")+IMPORTRANGE(""https://docs.google.com/spreadsheets/d/1XVB7oCJ3pr-vBUdflwPQ8Z2LlzhnCvZaaYjAfP-647E/edit"&amp;"?usp=sharing"",""นครพนม!I150"")+IMPORTRANGE(""https://docs.google.com/spreadsheets/d/1Mnpb-8PYAgn85W6KOTD40hc_Xc55CaLfHoGAbrZ8tls/edit?usp=sharing"",""นครราชสีมา!I150"")+IMPORTRANGE(""https://docs.google.com/spreadsheets/d/1xoDLGBv9CYbyosIhki0kTq6IpYNj-gp"&amp;"jxfobnaDiut0/edit?usp=sharing"",""บึงกาฬ!I150"")+IMPORTRANGE(""https://docs.google.com/spreadsheets/d/1MMPq-JyI6DSgQETxuSiXkesP-P7JHuemnE6QJIa-Nlw/edit?usp=sharing"",""บุรีรัมย์!I150"")+IMPORTRANGE(""https://docs.google.com/spreadsheets/d/1l6IZ8xUPgMrESzc"&amp;"TYwhA1k_tPjeQjJPTqlm8Gd9eU5g/edit?usp=sharing"",""มหาสารคาม!I150"")+IMPORTRANGE(""https://docs.google.com/spreadsheets/d/1uB74YLqNjWX6FObjekfB2NtSYigTQyR2rq9u4Ub2Sq4/edit?usp=sharing"",""มุกดาหาร!I150"")+IMPORTRANGE(""https://docs.google.com/spreadsheets/"&amp;"d/1NexK3geCPxCTO1fzNF8dPec7yZyUx3OaWkFBC9HsQOo/edit?usp=sharing"",""ยโสธร!I150"")+IMPORTRANGE(""https://docs.google.com/spreadsheets/d/1v_cJrbBlyqmnHPReHk44g9NrMRdENNlSy_E_c5M9fIg/edit?usp=sharing"",""ร้อยเอ็ด!I150"")+IMPORTRANGE(""https://docs.google.com"&amp;"/spreadsheets/d/1Ul4RCpCX66NxYADU1QpwAPjOmBzW64SsT11s1wzXw_c/edit?usp=sharing"",""เลย!I150"")+IMPORTRANGE(""https://docs.google.com/spreadsheets/d/1bRrNKwbHDVktQG10isr5vbWRtt5spIZPpkOSWgbT5ug/edit?usp=sharing"",""ศรีสะเกษ!I150"")+IMPORTRANGE(""https://doc"&amp;"s.google.com/spreadsheets/d/17P34_Ow5kFBfdQD0qspb2UuPX5zpi6WMrQzslghyvrI/edit?usp=sharing"",""สกลนคร!I150"")+IMPORTRANGE(""https://docs.google.com/spreadsheets/d/1yswqbM3-AEpThF3ZSUa1AcmHnmRTF1vlJ1CZGcJ8YuU/edit?usp=sharing"",""สุรินทร์!I150"")+IMPORTRANG"&amp;"E(""https://docs.google.com/spreadsheets/d/13JHU_EFbsQOUQ0JSQ3dWy1VTRosIWcDq6Nc99z2qzdc/edit?usp=sharing"",""หนองคาย!I150"")+IMPORTRANGE(""https://docs.google.com/spreadsheets/d/1Hx73zIEgVdDZZaYSTc46Dqv64atFhpr3GelxLbaIN8A/edit?usp=sharing"",""หนองบัวลำภู"&amp;"!I150"")+IMPORTRANGE(""https://docs.google.com/spreadsheets/d/1lFxr3ctmjFN90yc-xV6jrQ9Ty8BKYVBWnAZ15wcNIJc/edit?usp=sharing"",""อำนาจเจริญ!I150"")+IMPORTRANGE(""https://docs.google.com/spreadsheets/d/1gF7RJpRnL-1oyjyeWxs5SFWEH7y8ahOZsQlyp2A2e-A/edit?usp=s"&amp;"haring"",""อุดรธานี!I150"")+IMPORTRANGE(""https://docs.google.com/spreadsheets/d/1kfLP0j3INXRa8bTDpcEmoWewMBV61jlFlfzczfjWIgc/edit?usp=sharing"",""อุบลราชธานี!I150"")"),20)</f>
        <v>20</v>
      </c>
      <c r="J150" s="230">
        <f ca="1">IFERROR(__xludf.DUMMYFUNCTION("IMPORTRANGE(""https://docs.google.com/spreadsheets/d/1yhBcrRPreicbMKl9Bu_Snb2-OcQAF62RKfhTLhJ2eAA/edit?usp=sharing"",""กาฬสินธุ์!J150"")+IMPORTRANGE(""https://docs.google.com/spreadsheets/d/1aHkj4IaQMThhwWwevcOymEh837vdxeC_PycurhTbGFA/edit?usp=sharing"","&amp;"""ขอนแก่น!J150"")+IMPORTRANGE(""https://docs.google.com/spreadsheets/d/1FvTu2DsIWUjP6WCWra38Bkj_oOl_sOMf14r5Fg5srxU/edit?usp=sharing"",""ชัยภูมิ!J150"")+IMPORTRANGE(""https://docs.google.com/spreadsheets/d/1XVB7oCJ3pr-vBUdflwPQ8Z2LlzhnCvZaaYjAfP-647E/edit"&amp;"?usp=sharing"",""นครพนม!J150"")+IMPORTRANGE(""https://docs.google.com/spreadsheets/d/1Mnpb-8PYAgn85W6KOTD40hc_Xc55CaLfHoGAbrZ8tls/edit?usp=sharing"",""นครราชสีมา!J150"")+IMPORTRANGE(""https://docs.google.com/spreadsheets/d/1xoDLGBv9CYbyosIhki0kTq6IpYNj-gp"&amp;"jxfobnaDiut0/edit?usp=sharing"",""บึงกาฬ!J150"")+IMPORTRANGE(""https://docs.google.com/spreadsheets/d/1MMPq-JyI6DSgQETxuSiXkesP-P7JHuemnE6QJIa-Nlw/edit?usp=sharing"",""บุรีรัมย์!J150"")+IMPORTRANGE(""https://docs.google.com/spreadsheets/d/1l6IZ8xUPgMrESzc"&amp;"TYwhA1k_tPjeQjJPTqlm8Gd9eU5g/edit?usp=sharing"",""มหาสารคาม!J150"")+IMPORTRANGE(""https://docs.google.com/spreadsheets/d/1uB74YLqNjWX6FObjekfB2NtSYigTQyR2rq9u4Ub2Sq4/edit?usp=sharing"",""มุกดาหาร!J150"")+IMPORTRANGE(""https://docs.google.com/spreadsheets/"&amp;"d/1NexK3geCPxCTO1fzNF8dPec7yZyUx3OaWkFBC9HsQOo/edit?usp=sharing"",""ยโสธร!J150"")+IMPORTRANGE(""https://docs.google.com/spreadsheets/d/1v_cJrbBlyqmnHPReHk44g9NrMRdENNlSy_E_c5M9fIg/edit?usp=sharing"",""ร้อยเอ็ด!J150"")+IMPORTRANGE(""https://docs.google.com"&amp;"/spreadsheets/d/1Ul4RCpCX66NxYADU1QpwAPjOmBzW64SsT11s1wzXw_c/edit?usp=sharing"",""เลย!J150"")+IMPORTRANGE(""https://docs.google.com/spreadsheets/d/1bRrNKwbHDVktQG10isr5vbWRtt5spIZPpkOSWgbT5ug/edit?usp=sharing"",""ศรีสะเกษ!J150"")+IMPORTRANGE(""https://doc"&amp;"s.google.com/spreadsheets/d/17P34_Ow5kFBfdQD0qspb2UuPX5zpi6WMrQzslghyvrI/edit?usp=sharing"",""สกลนคร!J150"")+IMPORTRANGE(""https://docs.google.com/spreadsheets/d/1yswqbM3-AEpThF3ZSUa1AcmHnmRTF1vlJ1CZGcJ8YuU/edit?usp=sharing"",""สุรินทร์!J150"")+IMPORTRANG"&amp;"E(""https://docs.google.com/spreadsheets/d/13JHU_EFbsQOUQ0JSQ3dWy1VTRosIWcDq6Nc99z2qzdc/edit?usp=sharing"",""หนองคาย!J150"")+IMPORTRANGE(""https://docs.google.com/spreadsheets/d/1Hx73zIEgVdDZZaYSTc46Dqv64atFhpr3GelxLbaIN8A/edit?usp=sharing"",""หนองบัวลำภู"&amp;"!J150"")+IMPORTRANGE(""https://docs.google.com/spreadsheets/d/1lFxr3ctmjFN90yc-xV6jrQ9Ty8BKYVBWnAZ15wcNIJc/edit?usp=sharing"",""อำนาจเจริญ!J150"")+IMPORTRANGE(""https://docs.google.com/spreadsheets/d/1gF7RJpRnL-1oyjyeWxs5SFWEH7y8ahOZsQlyp2A2e-A/edit?usp=s"&amp;"haring"",""อุดรธานี!J150"")+IMPORTRANGE(""https://docs.google.com/spreadsheets/d/1kfLP0j3INXRa8bTDpcEmoWewMBV61jlFlfzczfjWIgc/edit?usp=sharing"",""อุบลราชธานี!J150"")"),0)</f>
        <v>0</v>
      </c>
      <c r="K150" s="69">
        <f t="shared" ref="K150:K154" ca="1" si="72">IF(I150&gt;0,J150*100/I150,0)</f>
        <v>0</v>
      </c>
      <c r="L150" s="68"/>
      <c r="M150" s="68"/>
      <c r="N150" s="68"/>
      <c r="O150" s="68"/>
      <c r="P150" s="68"/>
    </row>
    <row r="151" spans="1:16" ht="18.75" x14ac:dyDescent="0.25">
      <c r="A151" s="226"/>
      <c r="B151" s="63"/>
      <c r="C151" s="63"/>
      <c r="D151" s="227"/>
      <c r="E151" s="231"/>
      <c r="F151" s="63"/>
      <c r="G151" s="65"/>
      <c r="H151" s="232" t="s">
        <v>56</v>
      </c>
      <c r="I151" s="233">
        <f ca="1">IFERROR(__xludf.DUMMYFUNCTION("IMPORTRANGE(""https://docs.google.com/spreadsheets/d/1yhBcrRPreicbMKl9Bu_Snb2-OcQAF62RKfhTLhJ2eAA/edit?usp=sharing"",""กาฬสินธุ์!I151"")+IMPORTRANGE(""https://docs.google.com/spreadsheets/d/1aHkj4IaQMThhwWwevcOymEh837vdxeC_PycurhTbGFA/edit?usp=sharing"","&amp;"""ขอนแก่น!I151"")+IMPORTRANGE(""https://docs.google.com/spreadsheets/d/1FvTu2DsIWUjP6WCWra38Bkj_oOl_sOMf14r5Fg5srxU/edit?usp=sharing"",""ชัยภูมิ!I151"")+IMPORTRANGE(""https://docs.google.com/spreadsheets/d/1XVB7oCJ3pr-vBUdflwPQ8Z2LlzhnCvZaaYjAfP-647E/edit"&amp;"?usp=sharing"",""นครพนม!I151"")+IMPORTRANGE(""https://docs.google.com/spreadsheets/d/1Mnpb-8PYAgn85W6KOTD40hc_Xc55CaLfHoGAbrZ8tls/edit?usp=sharing"",""นครราชสีมา!I151"")+IMPORTRANGE(""https://docs.google.com/spreadsheets/d/1xoDLGBv9CYbyosIhki0kTq6IpYNj-gp"&amp;"jxfobnaDiut0/edit?usp=sharing"",""บึงกาฬ!I151"")+IMPORTRANGE(""https://docs.google.com/spreadsheets/d/1MMPq-JyI6DSgQETxuSiXkesP-P7JHuemnE6QJIa-Nlw/edit?usp=sharing"",""บุรีรัมย์!I151"")+IMPORTRANGE(""https://docs.google.com/spreadsheets/d/1l6IZ8xUPgMrESzc"&amp;"TYwhA1k_tPjeQjJPTqlm8Gd9eU5g/edit?usp=sharing"",""มหาสารคาม!I151"")+IMPORTRANGE(""https://docs.google.com/spreadsheets/d/1uB74YLqNjWX6FObjekfB2NtSYigTQyR2rq9u4Ub2Sq4/edit?usp=sharing"",""มุกดาหาร!I151"")+IMPORTRANGE(""https://docs.google.com/spreadsheets/"&amp;"d/1NexK3geCPxCTO1fzNF8dPec7yZyUx3OaWkFBC9HsQOo/edit?usp=sharing"",""ยโสธร!I151"")+IMPORTRANGE(""https://docs.google.com/spreadsheets/d/1v_cJrbBlyqmnHPReHk44g9NrMRdENNlSy_E_c5M9fIg/edit?usp=sharing"",""ร้อยเอ็ด!I151"")+IMPORTRANGE(""https://docs.google.com"&amp;"/spreadsheets/d/1Ul4RCpCX66NxYADU1QpwAPjOmBzW64SsT11s1wzXw_c/edit?usp=sharing"",""เลย!I151"")+IMPORTRANGE(""https://docs.google.com/spreadsheets/d/1bRrNKwbHDVktQG10isr5vbWRtt5spIZPpkOSWgbT5ug/edit?usp=sharing"",""ศรีสะเกษ!I151"")+IMPORTRANGE(""https://doc"&amp;"s.google.com/spreadsheets/d/17P34_Ow5kFBfdQD0qspb2UuPX5zpi6WMrQzslghyvrI/edit?usp=sharing"",""สกลนคร!I151"")+IMPORTRANGE(""https://docs.google.com/spreadsheets/d/1yswqbM3-AEpThF3ZSUa1AcmHnmRTF1vlJ1CZGcJ8YuU/edit?usp=sharing"",""สุรินทร์!I151"")+IMPORTRANG"&amp;"E(""https://docs.google.com/spreadsheets/d/13JHU_EFbsQOUQ0JSQ3dWy1VTRosIWcDq6Nc99z2qzdc/edit?usp=sharing"",""หนองคาย!I151"")+IMPORTRANGE(""https://docs.google.com/spreadsheets/d/1Hx73zIEgVdDZZaYSTc46Dqv64atFhpr3GelxLbaIN8A/edit?usp=sharing"",""หนองบัวลำภู"&amp;"!I151"")+IMPORTRANGE(""https://docs.google.com/spreadsheets/d/1lFxr3ctmjFN90yc-xV6jrQ9Ty8BKYVBWnAZ15wcNIJc/edit?usp=sharing"",""อำนาจเจริญ!I151"")+IMPORTRANGE(""https://docs.google.com/spreadsheets/d/1gF7RJpRnL-1oyjyeWxs5SFWEH7y8ahOZsQlyp2A2e-A/edit?usp=s"&amp;"haring"",""อุดรธานี!I151"")+IMPORTRANGE(""https://docs.google.com/spreadsheets/d/1kfLP0j3INXRa8bTDpcEmoWewMBV61jlFlfzczfjWIgc/edit?usp=sharing"",""อุบลราชธานี!I151"")"),2)</f>
        <v>2</v>
      </c>
      <c r="J151" s="233">
        <f ca="1">IFERROR(__xludf.DUMMYFUNCTION("IMPORTRANGE(""https://docs.google.com/spreadsheets/d/1yhBcrRPreicbMKl9Bu_Snb2-OcQAF62RKfhTLhJ2eAA/edit?usp=sharing"",""กาฬสินธุ์!J151"")+IMPORTRANGE(""https://docs.google.com/spreadsheets/d/1aHkj4IaQMThhwWwevcOymEh837vdxeC_PycurhTbGFA/edit?usp=sharing"","&amp;"""ขอนแก่น!J151"")+IMPORTRANGE(""https://docs.google.com/spreadsheets/d/1FvTu2DsIWUjP6WCWra38Bkj_oOl_sOMf14r5Fg5srxU/edit?usp=sharing"",""ชัยภูมิ!J151"")+IMPORTRANGE(""https://docs.google.com/spreadsheets/d/1XVB7oCJ3pr-vBUdflwPQ8Z2LlzhnCvZaaYjAfP-647E/edit"&amp;"?usp=sharing"",""นครพนม!J151"")+IMPORTRANGE(""https://docs.google.com/spreadsheets/d/1Mnpb-8PYAgn85W6KOTD40hc_Xc55CaLfHoGAbrZ8tls/edit?usp=sharing"",""นครราชสีมา!J151"")+IMPORTRANGE(""https://docs.google.com/spreadsheets/d/1xoDLGBv9CYbyosIhki0kTq6IpYNj-gp"&amp;"jxfobnaDiut0/edit?usp=sharing"",""บึงกาฬ!J151"")+IMPORTRANGE(""https://docs.google.com/spreadsheets/d/1MMPq-JyI6DSgQETxuSiXkesP-P7JHuemnE6QJIa-Nlw/edit?usp=sharing"",""บุรีรัมย์!J151"")+IMPORTRANGE(""https://docs.google.com/spreadsheets/d/1l6IZ8xUPgMrESzc"&amp;"TYwhA1k_tPjeQjJPTqlm8Gd9eU5g/edit?usp=sharing"",""มหาสารคาม!J151"")+IMPORTRANGE(""https://docs.google.com/spreadsheets/d/1uB74YLqNjWX6FObjekfB2NtSYigTQyR2rq9u4Ub2Sq4/edit?usp=sharing"",""มุกดาหาร!J151"")+IMPORTRANGE(""https://docs.google.com/spreadsheets/"&amp;"d/1NexK3geCPxCTO1fzNF8dPec7yZyUx3OaWkFBC9HsQOo/edit?usp=sharing"",""ยโสธร!J151"")+IMPORTRANGE(""https://docs.google.com/spreadsheets/d/1v_cJrbBlyqmnHPReHk44g9NrMRdENNlSy_E_c5M9fIg/edit?usp=sharing"",""ร้อยเอ็ด!J151"")+IMPORTRANGE(""https://docs.google.com"&amp;"/spreadsheets/d/1Ul4RCpCX66NxYADU1QpwAPjOmBzW64SsT11s1wzXw_c/edit?usp=sharing"",""เลย!J151"")+IMPORTRANGE(""https://docs.google.com/spreadsheets/d/1bRrNKwbHDVktQG10isr5vbWRtt5spIZPpkOSWgbT5ug/edit?usp=sharing"",""ศรีสะเกษ!J151"")+IMPORTRANGE(""https://doc"&amp;"s.google.com/spreadsheets/d/17P34_Ow5kFBfdQD0qspb2UuPX5zpi6WMrQzslghyvrI/edit?usp=sharing"",""สกลนคร!J151"")+IMPORTRANGE(""https://docs.google.com/spreadsheets/d/1yswqbM3-AEpThF3ZSUa1AcmHnmRTF1vlJ1CZGcJ8YuU/edit?usp=sharing"",""สุรินทร์!J151"")+IMPORTRANG"&amp;"E(""https://docs.google.com/spreadsheets/d/13JHU_EFbsQOUQ0JSQ3dWy1VTRosIWcDq6Nc99z2qzdc/edit?usp=sharing"",""หนองคาย!J151"")+IMPORTRANGE(""https://docs.google.com/spreadsheets/d/1Hx73zIEgVdDZZaYSTc46Dqv64atFhpr3GelxLbaIN8A/edit?usp=sharing"",""หนองบัวลำภู"&amp;"!J151"")+IMPORTRANGE(""https://docs.google.com/spreadsheets/d/1lFxr3ctmjFN90yc-xV6jrQ9Ty8BKYVBWnAZ15wcNIJc/edit?usp=sharing"",""อำนาจเจริญ!J151"")+IMPORTRANGE(""https://docs.google.com/spreadsheets/d/1gF7RJpRnL-1oyjyeWxs5SFWEH7y8ahOZsQlyp2A2e-A/edit?usp=s"&amp;"haring"",""อุดรธานี!J151"")+IMPORTRANGE(""https://docs.google.com/spreadsheets/d/1kfLP0j3INXRa8bTDpcEmoWewMBV61jlFlfzczfjWIgc/edit?usp=sharing"",""อุบลราชธานี!J151"")"),0)</f>
        <v>0</v>
      </c>
      <c r="K151" s="69">
        <f t="shared" ca="1" si="72"/>
        <v>0</v>
      </c>
      <c r="L151" s="68"/>
      <c r="M151" s="68"/>
      <c r="N151" s="68"/>
      <c r="O151" s="68"/>
      <c r="P151" s="68"/>
    </row>
    <row r="152" spans="1:16" ht="19.5" x14ac:dyDescent="0.3">
      <c r="A152" s="226"/>
      <c r="B152" s="63"/>
      <c r="C152" s="63"/>
      <c r="D152" s="227"/>
      <c r="E152" s="228" t="s">
        <v>59</v>
      </c>
      <c r="F152" s="63"/>
      <c r="G152" s="65"/>
      <c r="H152" s="229" t="s">
        <v>33</v>
      </c>
      <c r="I152" s="230">
        <f ca="1">IFERROR(__xludf.DUMMYFUNCTION("IMPORTRANGE(""https://docs.google.com/spreadsheets/d/1yhBcrRPreicbMKl9Bu_Snb2-OcQAF62RKfhTLhJ2eAA/edit?usp=sharing"",""กาฬสินธุ์!I152"")+IMPORTRANGE(""https://docs.google.com/spreadsheets/d/1aHkj4IaQMThhwWwevcOymEh837vdxeC_PycurhTbGFA/edit?usp=sharing"","&amp;"""ขอนแก่น!I152"")+IMPORTRANGE(""https://docs.google.com/spreadsheets/d/1FvTu2DsIWUjP6WCWra38Bkj_oOl_sOMf14r5Fg5srxU/edit?usp=sharing"",""ชัยภูมิ!I152"")+IMPORTRANGE(""https://docs.google.com/spreadsheets/d/1XVB7oCJ3pr-vBUdflwPQ8Z2LlzhnCvZaaYjAfP-647E/edit"&amp;"?usp=sharing"",""นครพนม!I152"")+IMPORTRANGE(""https://docs.google.com/spreadsheets/d/1Mnpb-8PYAgn85W6KOTD40hc_Xc55CaLfHoGAbrZ8tls/edit?usp=sharing"",""นครราชสีมา!I152"")+IMPORTRANGE(""https://docs.google.com/spreadsheets/d/1xoDLGBv9CYbyosIhki0kTq6IpYNj-gp"&amp;"jxfobnaDiut0/edit?usp=sharing"",""บึงกาฬ!I152"")+IMPORTRANGE(""https://docs.google.com/spreadsheets/d/1MMPq-JyI6DSgQETxuSiXkesP-P7JHuemnE6QJIa-Nlw/edit?usp=sharing"",""บุรีรัมย์!I152"")+IMPORTRANGE(""https://docs.google.com/spreadsheets/d/1l6IZ8xUPgMrESzc"&amp;"TYwhA1k_tPjeQjJPTqlm8Gd9eU5g/edit?usp=sharing"",""มหาสารคาม!I152"")+IMPORTRANGE(""https://docs.google.com/spreadsheets/d/1uB74YLqNjWX6FObjekfB2NtSYigTQyR2rq9u4Ub2Sq4/edit?usp=sharing"",""มุกดาหาร!I152"")+IMPORTRANGE(""https://docs.google.com/spreadsheets/"&amp;"d/1NexK3geCPxCTO1fzNF8dPec7yZyUx3OaWkFBC9HsQOo/edit?usp=sharing"",""ยโสธร!I152"")+IMPORTRANGE(""https://docs.google.com/spreadsheets/d/1v_cJrbBlyqmnHPReHk44g9NrMRdENNlSy_E_c5M9fIg/edit?usp=sharing"",""ร้อยเอ็ด!I152"")+IMPORTRANGE(""https://docs.google.com"&amp;"/spreadsheets/d/1Ul4RCpCX66NxYADU1QpwAPjOmBzW64SsT11s1wzXw_c/edit?usp=sharing"",""เลย!I152"")+IMPORTRANGE(""https://docs.google.com/spreadsheets/d/1bRrNKwbHDVktQG10isr5vbWRtt5spIZPpkOSWgbT5ug/edit?usp=sharing"",""ศรีสะเกษ!I152"")+IMPORTRANGE(""https://doc"&amp;"s.google.com/spreadsheets/d/17P34_Ow5kFBfdQD0qspb2UuPX5zpi6WMrQzslghyvrI/edit?usp=sharing"",""สกลนคร!I152"")+IMPORTRANGE(""https://docs.google.com/spreadsheets/d/1yswqbM3-AEpThF3ZSUa1AcmHnmRTF1vlJ1CZGcJ8YuU/edit?usp=sharing"",""สุรินทร์!I152"")+IMPORTRANG"&amp;"E(""https://docs.google.com/spreadsheets/d/13JHU_EFbsQOUQ0JSQ3dWy1VTRosIWcDq6Nc99z2qzdc/edit?usp=sharing"",""หนองคาย!I152"")+IMPORTRANGE(""https://docs.google.com/spreadsheets/d/1Hx73zIEgVdDZZaYSTc46Dqv64atFhpr3GelxLbaIN8A/edit?usp=sharing"",""หนองบัวลำภู"&amp;"!I152"")+IMPORTRANGE(""https://docs.google.com/spreadsheets/d/1lFxr3ctmjFN90yc-xV6jrQ9Ty8BKYVBWnAZ15wcNIJc/edit?usp=sharing"",""อำนาจเจริญ!I152"")+IMPORTRANGE(""https://docs.google.com/spreadsheets/d/1gF7RJpRnL-1oyjyeWxs5SFWEH7y8ahOZsQlyp2A2e-A/edit?usp=s"&amp;"haring"",""อุดรธานี!I152"")+IMPORTRANGE(""https://docs.google.com/spreadsheets/d/1kfLP0j3INXRa8bTDpcEmoWewMBV61jlFlfzczfjWIgc/edit?usp=sharing"",""อุบลราชธานี!I152"")"),290)</f>
        <v>290</v>
      </c>
      <c r="J152" s="233">
        <f ca="1">IFERROR(__xludf.DUMMYFUNCTION("IMPORTRANGE(""https://docs.google.com/spreadsheets/d/1yhBcrRPreicbMKl9Bu_Snb2-OcQAF62RKfhTLhJ2eAA/edit?usp=sharing"",""กาฬสินธุ์!J152"")+IMPORTRANGE(""https://docs.google.com/spreadsheets/d/1aHkj4IaQMThhwWwevcOymEh837vdxeC_PycurhTbGFA/edit?usp=sharing"","&amp;"""ขอนแก่น!J152"")+IMPORTRANGE(""https://docs.google.com/spreadsheets/d/1FvTu2DsIWUjP6WCWra38Bkj_oOl_sOMf14r5Fg5srxU/edit?usp=sharing"",""ชัยภูมิ!J152"")+IMPORTRANGE(""https://docs.google.com/spreadsheets/d/1XVB7oCJ3pr-vBUdflwPQ8Z2LlzhnCvZaaYjAfP-647E/edit"&amp;"?usp=sharing"",""นครพนม!J152"")+IMPORTRANGE(""https://docs.google.com/spreadsheets/d/1Mnpb-8PYAgn85W6KOTD40hc_Xc55CaLfHoGAbrZ8tls/edit?usp=sharing"",""นครราชสีมา!J152"")+IMPORTRANGE(""https://docs.google.com/spreadsheets/d/1xoDLGBv9CYbyosIhki0kTq6IpYNj-gp"&amp;"jxfobnaDiut0/edit?usp=sharing"",""บึงกาฬ!J152"")+IMPORTRANGE(""https://docs.google.com/spreadsheets/d/1MMPq-JyI6DSgQETxuSiXkesP-P7JHuemnE6QJIa-Nlw/edit?usp=sharing"",""บุรีรัมย์!J152"")+IMPORTRANGE(""https://docs.google.com/spreadsheets/d/1l6IZ8xUPgMrESzc"&amp;"TYwhA1k_tPjeQjJPTqlm8Gd9eU5g/edit?usp=sharing"",""มหาสารคาม!J152"")+IMPORTRANGE(""https://docs.google.com/spreadsheets/d/1uB74YLqNjWX6FObjekfB2NtSYigTQyR2rq9u4Ub2Sq4/edit?usp=sharing"",""มุกดาหาร!J152"")+IMPORTRANGE(""https://docs.google.com/spreadsheets/"&amp;"d/1NexK3geCPxCTO1fzNF8dPec7yZyUx3OaWkFBC9HsQOo/edit?usp=sharing"",""ยโสธร!J152"")+IMPORTRANGE(""https://docs.google.com/spreadsheets/d/1v_cJrbBlyqmnHPReHk44g9NrMRdENNlSy_E_c5M9fIg/edit?usp=sharing"",""ร้อยเอ็ด!J152"")+IMPORTRANGE(""https://docs.google.com"&amp;"/spreadsheets/d/1Ul4RCpCX66NxYADU1QpwAPjOmBzW64SsT11s1wzXw_c/edit?usp=sharing"",""เลย!J152"")+IMPORTRANGE(""https://docs.google.com/spreadsheets/d/1bRrNKwbHDVktQG10isr5vbWRtt5spIZPpkOSWgbT5ug/edit?usp=sharing"",""ศรีสะเกษ!J152"")+IMPORTRANGE(""https://doc"&amp;"s.google.com/spreadsheets/d/17P34_Ow5kFBfdQD0qspb2UuPX5zpi6WMrQzslghyvrI/edit?usp=sharing"",""สกลนคร!J152"")+IMPORTRANGE(""https://docs.google.com/spreadsheets/d/1yswqbM3-AEpThF3ZSUa1AcmHnmRTF1vlJ1CZGcJ8YuU/edit?usp=sharing"",""สุรินทร์!J152"")+IMPORTRANG"&amp;"E(""https://docs.google.com/spreadsheets/d/13JHU_EFbsQOUQ0JSQ3dWy1VTRosIWcDq6Nc99z2qzdc/edit?usp=sharing"",""หนองคาย!J152"")+IMPORTRANGE(""https://docs.google.com/spreadsheets/d/1Hx73zIEgVdDZZaYSTc46Dqv64atFhpr3GelxLbaIN8A/edit?usp=sharing"",""หนองบัวลำภู"&amp;"!J152"")+IMPORTRANGE(""https://docs.google.com/spreadsheets/d/1lFxr3ctmjFN90yc-xV6jrQ9Ty8BKYVBWnAZ15wcNIJc/edit?usp=sharing"",""อำนาจเจริญ!J152"")+IMPORTRANGE(""https://docs.google.com/spreadsheets/d/1gF7RJpRnL-1oyjyeWxs5SFWEH7y8ahOZsQlyp2A2e-A/edit?usp=s"&amp;"haring"",""อุดรธานี!J152"")+IMPORTRANGE(""https://docs.google.com/spreadsheets/d/1kfLP0j3INXRa8bTDpcEmoWewMBV61jlFlfzczfjWIgc/edit?usp=sharing"",""อุบลราชธานี!J152"")"),0)</f>
        <v>0</v>
      </c>
      <c r="K152" s="69">
        <f t="shared" ca="1" si="72"/>
        <v>0</v>
      </c>
      <c r="L152" s="68"/>
      <c r="M152" s="68"/>
      <c r="N152" s="68"/>
      <c r="O152" s="68"/>
      <c r="P152" s="68"/>
    </row>
    <row r="153" spans="1:16" ht="19.5" x14ac:dyDescent="0.3">
      <c r="A153" s="226"/>
      <c r="B153" s="63"/>
      <c r="C153" s="63"/>
      <c r="D153" s="231"/>
      <c r="E153" s="234"/>
      <c r="F153" s="63"/>
      <c r="G153" s="65"/>
      <c r="H153" s="232" t="s">
        <v>56</v>
      </c>
      <c r="I153" s="233">
        <f ca="1">IFERROR(__xludf.DUMMYFUNCTION("IMPORTRANGE(""https://docs.google.com/spreadsheets/d/1yhBcrRPreicbMKl9Bu_Snb2-OcQAF62RKfhTLhJ2eAA/edit?usp=sharing"",""กาฬสินธุ์!I153"")+IMPORTRANGE(""https://docs.google.com/spreadsheets/d/1aHkj4IaQMThhwWwevcOymEh837vdxeC_PycurhTbGFA/edit?usp=sharing"","&amp;"""ขอนแก่น!I153"")+IMPORTRANGE(""https://docs.google.com/spreadsheets/d/1FvTu2DsIWUjP6WCWra38Bkj_oOl_sOMf14r5Fg5srxU/edit?usp=sharing"",""ชัยภูมิ!I153"")+IMPORTRANGE(""https://docs.google.com/spreadsheets/d/1XVB7oCJ3pr-vBUdflwPQ8Z2LlzhnCvZaaYjAfP-647E/edit"&amp;"?usp=sharing"",""นครพนม!I153"")+IMPORTRANGE(""https://docs.google.com/spreadsheets/d/1Mnpb-8PYAgn85W6KOTD40hc_Xc55CaLfHoGAbrZ8tls/edit?usp=sharing"",""นครราชสีมา!I153"")+IMPORTRANGE(""https://docs.google.com/spreadsheets/d/1xoDLGBv9CYbyosIhki0kTq6IpYNj-gp"&amp;"jxfobnaDiut0/edit?usp=sharing"",""บึงกาฬ!I153"")+IMPORTRANGE(""https://docs.google.com/spreadsheets/d/1MMPq-JyI6DSgQETxuSiXkesP-P7JHuemnE6QJIa-Nlw/edit?usp=sharing"",""บุรีรัมย์!I153"")+IMPORTRANGE(""https://docs.google.com/spreadsheets/d/1l6IZ8xUPgMrESzc"&amp;"TYwhA1k_tPjeQjJPTqlm8Gd9eU5g/edit?usp=sharing"",""มหาสารคาม!I153"")+IMPORTRANGE(""https://docs.google.com/spreadsheets/d/1uB74YLqNjWX6FObjekfB2NtSYigTQyR2rq9u4Ub2Sq4/edit?usp=sharing"",""มุกดาหาร!I153"")+IMPORTRANGE(""https://docs.google.com/spreadsheets/"&amp;"d/1NexK3geCPxCTO1fzNF8dPec7yZyUx3OaWkFBC9HsQOo/edit?usp=sharing"",""ยโสธร!I153"")+IMPORTRANGE(""https://docs.google.com/spreadsheets/d/1v_cJrbBlyqmnHPReHk44g9NrMRdENNlSy_E_c5M9fIg/edit?usp=sharing"",""ร้อยเอ็ด!I153"")+IMPORTRANGE(""https://docs.google.com"&amp;"/spreadsheets/d/1Ul4RCpCX66NxYADU1QpwAPjOmBzW64SsT11s1wzXw_c/edit?usp=sharing"",""เลย!I153"")+IMPORTRANGE(""https://docs.google.com/spreadsheets/d/1bRrNKwbHDVktQG10isr5vbWRtt5spIZPpkOSWgbT5ug/edit?usp=sharing"",""ศรีสะเกษ!I153"")+IMPORTRANGE(""https://doc"&amp;"s.google.com/spreadsheets/d/17P34_Ow5kFBfdQD0qspb2UuPX5zpi6WMrQzslghyvrI/edit?usp=sharing"",""สกลนคร!I153"")+IMPORTRANGE(""https://docs.google.com/spreadsheets/d/1yswqbM3-AEpThF3ZSUa1AcmHnmRTF1vlJ1CZGcJ8YuU/edit?usp=sharing"",""สุรินทร์!I153"")+IMPORTRANG"&amp;"E(""https://docs.google.com/spreadsheets/d/13JHU_EFbsQOUQ0JSQ3dWy1VTRosIWcDq6Nc99z2qzdc/edit?usp=sharing"",""หนองคาย!I153"")+IMPORTRANGE(""https://docs.google.com/spreadsheets/d/1Hx73zIEgVdDZZaYSTc46Dqv64atFhpr3GelxLbaIN8A/edit?usp=sharing"",""หนองบัวลำภู"&amp;"!I153"")+IMPORTRANGE(""https://docs.google.com/spreadsheets/d/1lFxr3ctmjFN90yc-xV6jrQ9Ty8BKYVBWnAZ15wcNIJc/edit?usp=sharing"",""อำนาจเจริญ!I153"")+IMPORTRANGE(""https://docs.google.com/spreadsheets/d/1gF7RJpRnL-1oyjyeWxs5SFWEH7y8ahOZsQlyp2A2e-A/edit?usp=s"&amp;"haring"",""อุดรธานี!I153"")+IMPORTRANGE(""https://docs.google.com/spreadsheets/d/1kfLP0j3INXRa8bTDpcEmoWewMBV61jlFlfzczfjWIgc/edit?usp=sharing"",""อุบลราชธานี!I153"")"),29)</f>
        <v>29</v>
      </c>
      <c r="J153" s="233">
        <f ca="1">IFERROR(__xludf.DUMMYFUNCTION("IMPORTRANGE(""https://docs.google.com/spreadsheets/d/1yhBcrRPreicbMKl9Bu_Snb2-OcQAF62RKfhTLhJ2eAA/edit?usp=sharing"",""กาฬสินธุ์!J153"")+IMPORTRANGE(""https://docs.google.com/spreadsheets/d/1aHkj4IaQMThhwWwevcOymEh837vdxeC_PycurhTbGFA/edit?usp=sharing"","&amp;"""ขอนแก่น!J153"")+IMPORTRANGE(""https://docs.google.com/spreadsheets/d/1FvTu2DsIWUjP6WCWra38Bkj_oOl_sOMf14r5Fg5srxU/edit?usp=sharing"",""ชัยภูมิ!J153"")+IMPORTRANGE(""https://docs.google.com/spreadsheets/d/1XVB7oCJ3pr-vBUdflwPQ8Z2LlzhnCvZaaYjAfP-647E/edit"&amp;"?usp=sharing"",""นครพนม!J153"")+IMPORTRANGE(""https://docs.google.com/spreadsheets/d/1Mnpb-8PYAgn85W6KOTD40hc_Xc55CaLfHoGAbrZ8tls/edit?usp=sharing"",""นครราชสีมา!J153"")+IMPORTRANGE(""https://docs.google.com/spreadsheets/d/1xoDLGBv9CYbyosIhki0kTq6IpYNj-gp"&amp;"jxfobnaDiut0/edit?usp=sharing"",""บึงกาฬ!J153"")+IMPORTRANGE(""https://docs.google.com/spreadsheets/d/1MMPq-JyI6DSgQETxuSiXkesP-P7JHuemnE6QJIa-Nlw/edit?usp=sharing"",""บุรีรัมย์!J153"")+IMPORTRANGE(""https://docs.google.com/spreadsheets/d/1l6IZ8xUPgMrESzc"&amp;"TYwhA1k_tPjeQjJPTqlm8Gd9eU5g/edit?usp=sharing"",""มหาสารคาม!J153"")+IMPORTRANGE(""https://docs.google.com/spreadsheets/d/1uB74YLqNjWX6FObjekfB2NtSYigTQyR2rq9u4Ub2Sq4/edit?usp=sharing"",""มุกดาหาร!J153"")+IMPORTRANGE(""https://docs.google.com/spreadsheets/"&amp;"d/1NexK3geCPxCTO1fzNF8dPec7yZyUx3OaWkFBC9HsQOo/edit?usp=sharing"",""ยโสธร!J153"")+IMPORTRANGE(""https://docs.google.com/spreadsheets/d/1v_cJrbBlyqmnHPReHk44g9NrMRdENNlSy_E_c5M9fIg/edit?usp=sharing"",""ร้อยเอ็ด!J153"")+IMPORTRANGE(""https://docs.google.com"&amp;"/spreadsheets/d/1Ul4RCpCX66NxYADU1QpwAPjOmBzW64SsT11s1wzXw_c/edit?usp=sharing"",""เลย!J153"")+IMPORTRANGE(""https://docs.google.com/spreadsheets/d/1bRrNKwbHDVktQG10isr5vbWRtt5spIZPpkOSWgbT5ug/edit?usp=sharing"",""ศรีสะเกษ!J153"")+IMPORTRANGE(""https://doc"&amp;"s.google.com/spreadsheets/d/17P34_Ow5kFBfdQD0qspb2UuPX5zpi6WMrQzslghyvrI/edit?usp=sharing"",""สกลนคร!J153"")+IMPORTRANGE(""https://docs.google.com/spreadsheets/d/1yswqbM3-AEpThF3ZSUa1AcmHnmRTF1vlJ1CZGcJ8YuU/edit?usp=sharing"",""สุรินทร์!J153"")+IMPORTRANG"&amp;"E(""https://docs.google.com/spreadsheets/d/13JHU_EFbsQOUQ0JSQ3dWy1VTRosIWcDq6Nc99z2qzdc/edit?usp=sharing"",""หนองคาย!J153"")+IMPORTRANGE(""https://docs.google.com/spreadsheets/d/1Hx73zIEgVdDZZaYSTc46Dqv64atFhpr3GelxLbaIN8A/edit?usp=sharing"",""หนองบัวลำภู"&amp;"!J153"")+IMPORTRANGE(""https://docs.google.com/spreadsheets/d/1lFxr3ctmjFN90yc-xV6jrQ9Ty8BKYVBWnAZ15wcNIJc/edit?usp=sharing"",""อำนาจเจริญ!J153"")+IMPORTRANGE(""https://docs.google.com/spreadsheets/d/1gF7RJpRnL-1oyjyeWxs5SFWEH7y8ahOZsQlyp2A2e-A/edit?usp=s"&amp;"haring"",""อุดรธานี!J153"")+IMPORTRANGE(""https://docs.google.com/spreadsheets/d/1kfLP0j3INXRa8bTDpcEmoWewMBV61jlFlfzczfjWIgc/edit?usp=sharing"",""อุบลราชธานี!J153"")"),0)</f>
        <v>0</v>
      </c>
      <c r="K153" s="69">
        <f t="shared" ca="1" si="72"/>
        <v>0</v>
      </c>
      <c r="L153" s="68"/>
      <c r="M153" s="68"/>
      <c r="N153" s="68"/>
      <c r="O153" s="68"/>
      <c r="P153" s="68"/>
    </row>
    <row r="154" spans="1:16" ht="18.75" x14ac:dyDescent="0.25">
      <c r="A154" s="235"/>
      <c r="B154" s="236"/>
      <c r="C154" s="236"/>
      <c r="D154" s="237" t="s">
        <v>60</v>
      </c>
      <c r="E154" s="236"/>
      <c r="F154" s="236"/>
      <c r="G154" s="238"/>
      <c r="H154" s="239" t="s">
        <v>54</v>
      </c>
      <c r="I154" s="240">
        <f ca="1">IFERROR(__xludf.DUMMYFUNCTION("IMPORTRANGE(""https://docs.google.com/spreadsheets/d/1yhBcrRPreicbMKl9Bu_Snb2-OcQAF62RKfhTLhJ2eAA/edit?usp=sharing"",""กาฬสินธุ์!I154"")+IMPORTRANGE(""https://docs.google.com/spreadsheets/d/1aHkj4IaQMThhwWwevcOymEh837vdxeC_PycurhTbGFA/edit?usp=sharing"","&amp;"""ขอนแก่น!I154"")+IMPORTRANGE(""https://docs.google.com/spreadsheets/d/1FvTu2DsIWUjP6WCWra38Bkj_oOl_sOMf14r5Fg5srxU/edit?usp=sharing"",""ชัยภูมิ!I154"")+IMPORTRANGE(""https://docs.google.com/spreadsheets/d/1XVB7oCJ3pr-vBUdflwPQ8Z2LlzhnCvZaaYjAfP-647E/edit"&amp;"?usp=sharing"",""นครพนม!I154"")+IMPORTRANGE(""https://docs.google.com/spreadsheets/d/1Mnpb-8PYAgn85W6KOTD40hc_Xc55CaLfHoGAbrZ8tls/edit?usp=sharing"",""นครราชสีมา!I154"")+IMPORTRANGE(""https://docs.google.com/spreadsheets/d/1xoDLGBv9CYbyosIhki0kTq6IpYNj-gp"&amp;"jxfobnaDiut0/edit?usp=sharing"",""บึงกาฬ!I154"")+IMPORTRANGE(""https://docs.google.com/spreadsheets/d/1MMPq-JyI6DSgQETxuSiXkesP-P7JHuemnE6QJIa-Nlw/edit?usp=sharing"",""บุรีรัมย์!I154"")+IMPORTRANGE(""https://docs.google.com/spreadsheets/d/1l6IZ8xUPgMrESzc"&amp;"TYwhA1k_tPjeQjJPTqlm8Gd9eU5g/edit?usp=sharing"",""มหาสารคาม!I154"")+IMPORTRANGE(""https://docs.google.com/spreadsheets/d/1uB74YLqNjWX6FObjekfB2NtSYigTQyR2rq9u4Ub2Sq4/edit?usp=sharing"",""มุกดาหาร!I154"")+IMPORTRANGE(""https://docs.google.com/spreadsheets/"&amp;"d/1NexK3geCPxCTO1fzNF8dPec7yZyUx3OaWkFBC9HsQOo/edit?usp=sharing"",""ยโสธร!I154"")+IMPORTRANGE(""https://docs.google.com/spreadsheets/d/1v_cJrbBlyqmnHPReHk44g9NrMRdENNlSy_E_c5M9fIg/edit?usp=sharing"",""ร้อยเอ็ด!I154"")+IMPORTRANGE(""https://docs.google.com"&amp;"/spreadsheets/d/1Ul4RCpCX66NxYADU1QpwAPjOmBzW64SsT11s1wzXw_c/edit?usp=sharing"",""เลย!I154"")+IMPORTRANGE(""https://docs.google.com/spreadsheets/d/1bRrNKwbHDVktQG10isr5vbWRtt5spIZPpkOSWgbT5ug/edit?usp=sharing"",""ศรีสะเกษ!I154"")+IMPORTRANGE(""https://doc"&amp;"s.google.com/spreadsheets/d/17P34_Ow5kFBfdQD0qspb2UuPX5zpi6WMrQzslghyvrI/edit?usp=sharing"",""สกลนคร!I154"")+IMPORTRANGE(""https://docs.google.com/spreadsheets/d/1yswqbM3-AEpThF3ZSUa1AcmHnmRTF1vlJ1CZGcJ8YuU/edit?usp=sharing"",""สุรินทร์!I154"")+IMPORTRANG"&amp;"E(""https://docs.google.com/spreadsheets/d/13JHU_EFbsQOUQ0JSQ3dWy1VTRosIWcDq6Nc99z2qzdc/edit?usp=sharing"",""หนองคาย!I154"")+IMPORTRANGE(""https://docs.google.com/spreadsheets/d/1Hx73zIEgVdDZZaYSTc46Dqv64atFhpr3GelxLbaIN8A/edit?usp=sharing"",""หนองบัวลำภู"&amp;"!I154"")+IMPORTRANGE(""https://docs.google.com/spreadsheets/d/1lFxr3ctmjFN90yc-xV6jrQ9Ty8BKYVBWnAZ15wcNIJc/edit?usp=sharing"",""อำนาจเจริญ!I154"")+IMPORTRANGE(""https://docs.google.com/spreadsheets/d/1gF7RJpRnL-1oyjyeWxs5SFWEH7y8ahOZsQlyp2A2e-A/edit?usp=s"&amp;"haring"",""อุดรธานี!I154"")+IMPORTRANGE(""https://docs.google.com/spreadsheets/d/1kfLP0j3INXRa8bTDpcEmoWewMBV61jlFlfzczfjWIgc/edit?usp=sharing"",""อุบลราชธานี!I154"")"),2)</f>
        <v>2</v>
      </c>
      <c r="J154" s="241">
        <f ca="1">IFERROR(__xludf.DUMMYFUNCTION("IMPORTRANGE(""https://docs.google.com/spreadsheets/d/1yhBcrRPreicbMKl9Bu_Snb2-OcQAF62RKfhTLhJ2eAA/edit?usp=sharing"",""กาฬสินธุ์!J154"")+IMPORTRANGE(""https://docs.google.com/spreadsheets/d/1aHkj4IaQMThhwWwevcOymEh837vdxeC_PycurhTbGFA/edit?usp=sharing"","&amp;"""ขอนแก่น!J154"")+IMPORTRANGE(""https://docs.google.com/spreadsheets/d/1FvTu2DsIWUjP6WCWra38Bkj_oOl_sOMf14r5Fg5srxU/edit?usp=sharing"",""ชัยภูมิ!J154"")+IMPORTRANGE(""https://docs.google.com/spreadsheets/d/1XVB7oCJ3pr-vBUdflwPQ8Z2LlzhnCvZaaYjAfP-647E/edit"&amp;"?usp=sharing"",""นครพนม!J154"")+IMPORTRANGE(""https://docs.google.com/spreadsheets/d/1Mnpb-8PYAgn85W6KOTD40hc_Xc55CaLfHoGAbrZ8tls/edit?usp=sharing"",""นครราชสีมา!J154"")+IMPORTRANGE(""https://docs.google.com/spreadsheets/d/1xoDLGBv9CYbyosIhki0kTq6IpYNj-gp"&amp;"jxfobnaDiut0/edit?usp=sharing"",""บึงกาฬ!J154"")+IMPORTRANGE(""https://docs.google.com/spreadsheets/d/1MMPq-JyI6DSgQETxuSiXkesP-P7JHuemnE6QJIa-Nlw/edit?usp=sharing"",""บุรีรัมย์!J154"")+IMPORTRANGE(""https://docs.google.com/spreadsheets/d/1l6IZ8xUPgMrESzc"&amp;"TYwhA1k_tPjeQjJPTqlm8Gd9eU5g/edit?usp=sharing"",""มหาสารคาม!J154"")+IMPORTRANGE(""https://docs.google.com/spreadsheets/d/1uB74YLqNjWX6FObjekfB2NtSYigTQyR2rq9u4Ub2Sq4/edit?usp=sharing"",""มุกดาหาร!J154"")+IMPORTRANGE(""https://docs.google.com/spreadsheets/"&amp;"d/1NexK3geCPxCTO1fzNF8dPec7yZyUx3OaWkFBC9HsQOo/edit?usp=sharing"",""ยโสธร!J154"")+IMPORTRANGE(""https://docs.google.com/spreadsheets/d/1v_cJrbBlyqmnHPReHk44g9NrMRdENNlSy_E_c5M9fIg/edit?usp=sharing"",""ร้อยเอ็ด!J154"")+IMPORTRANGE(""https://docs.google.com"&amp;"/spreadsheets/d/1Ul4RCpCX66NxYADU1QpwAPjOmBzW64SsT11s1wzXw_c/edit?usp=sharing"",""เลย!J154"")+IMPORTRANGE(""https://docs.google.com/spreadsheets/d/1bRrNKwbHDVktQG10isr5vbWRtt5spIZPpkOSWgbT5ug/edit?usp=sharing"",""ศรีสะเกษ!J154"")+IMPORTRANGE(""https://doc"&amp;"s.google.com/spreadsheets/d/17P34_Ow5kFBfdQD0qspb2UuPX5zpi6WMrQzslghyvrI/edit?usp=sharing"",""สกลนคร!J154"")+IMPORTRANGE(""https://docs.google.com/spreadsheets/d/1yswqbM3-AEpThF3ZSUa1AcmHnmRTF1vlJ1CZGcJ8YuU/edit?usp=sharing"",""สุรินทร์!J154"")+IMPORTRANG"&amp;"E(""https://docs.google.com/spreadsheets/d/13JHU_EFbsQOUQ0JSQ3dWy1VTRosIWcDq6Nc99z2qzdc/edit?usp=sharing"",""หนองคาย!J154"")+IMPORTRANGE(""https://docs.google.com/spreadsheets/d/1Hx73zIEgVdDZZaYSTc46Dqv64atFhpr3GelxLbaIN8A/edit?usp=sharing"",""หนองบัวลำภู"&amp;"!J154"")+IMPORTRANGE(""https://docs.google.com/spreadsheets/d/1lFxr3ctmjFN90yc-xV6jrQ9Ty8BKYVBWnAZ15wcNIJc/edit?usp=sharing"",""อำนาจเจริญ!J154"")+IMPORTRANGE(""https://docs.google.com/spreadsheets/d/1gF7RJpRnL-1oyjyeWxs5SFWEH7y8ahOZsQlyp2A2e-A/edit?usp=s"&amp;"haring"",""อุดรธานี!J154"")+IMPORTRANGE(""https://docs.google.com/spreadsheets/d/1kfLP0j3INXRa8bTDpcEmoWewMBV61jlFlfzczfjWIgc/edit?usp=sharing"",""อุบลราชธานี!J154"")"),0)</f>
        <v>0</v>
      </c>
      <c r="K154" s="69">
        <f t="shared" ca="1" si="72"/>
        <v>0</v>
      </c>
      <c r="L154" s="242"/>
      <c r="M154" s="242"/>
      <c r="N154" s="242"/>
      <c r="O154" s="242"/>
      <c r="P154" s="242"/>
    </row>
    <row r="155" spans="1:16" ht="19.5" x14ac:dyDescent="0.3">
      <c r="A155" s="243" t="s">
        <v>61</v>
      </c>
      <c r="B155" s="244"/>
      <c r="C155" s="245"/>
      <c r="D155" s="244"/>
      <c r="E155" s="244"/>
      <c r="F155" s="244"/>
      <c r="G155" s="244"/>
      <c r="H155" s="244"/>
      <c r="I155" s="246"/>
      <c r="J155" s="246"/>
      <c r="K155" s="247"/>
      <c r="L155" s="248"/>
      <c r="M155" s="248"/>
      <c r="N155" s="248"/>
      <c r="O155" s="248"/>
      <c r="P155" s="248"/>
    </row>
    <row r="156" spans="1:16" ht="19.5" x14ac:dyDescent="0.3">
      <c r="A156" s="152"/>
      <c r="B156" s="153" t="s">
        <v>62</v>
      </c>
      <c r="C156" s="41"/>
      <c r="D156" s="41"/>
      <c r="E156" s="41"/>
      <c r="F156" s="41"/>
      <c r="G156" s="44"/>
      <c r="H156" s="249" t="s">
        <v>33</v>
      </c>
      <c r="I156" s="156">
        <f ca="1">I167</f>
        <v>90</v>
      </c>
      <c r="J156" s="156">
        <f>J168</f>
        <v>0</v>
      </c>
      <c r="K156" s="48">
        <f ca="1">IF(I156&gt;0,J156*100/I156,0)</f>
        <v>0</v>
      </c>
      <c r="L156" s="47"/>
      <c r="M156" s="47"/>
      <c r="N156" s="47"/>
      <c r="O156" s="47"/>
      <c r="P156" s="47"/>
    </row>
    <row r="157" spans="1:16" ht="19.5" x14ac:dyDescent="0.3">
      <c r="A157" s="157"/>
      <c r="B157" s="53"/>
      <c r="C157" s="158" t="s">
        <v>16</v>
      </c>
      <c r="D157" s="159" t="s">
        <v>17</v>
      </c>
      <c r="E157" s="53"/>
      <c r="F157" s="53"/>
      <c r="G157" s="55"/>
      <c r="H157" s="160" t="s">
        <v>12</v>
      </c>
      <c r="I157" s="57"/>
      <c r="J157" s="57"/>
      <c r="K157" s="58"/>
      <c r="L157" s="161">
        <f t="shared" ref="L157:N157" ca="1" si="73">L158+L159</f>
        <v>27000</v>
      </c>
      <c r="M157" s="161">
        <f t="shared" ca="1" si="73"/>
        <v>0</v>
      </c>
      <c r="N157" s="161">
        <f t="shared" ca="1" si="73"/>
        <v>0</v>
      </c>
      <c r="O157" s="161">
        <f t="shared" ref="O157:O165" ca="1" si="74">IF(L157&gt;0,N157*100/L157,0)</f>
        <v>0</v>
      </c>
      <c r="P157" s="161">
        <f t="shared" ref="P157:P165" ca="1" si="75">IF(M157&gt;0,N157*100/M157,0)</f>
        <v>0</v>
      </c>
    </row>
    <row r="158" spans="1:16" ht="18.75" x14ac:dyDescent="0.25">
      <c r="A158" s="157"/>
      <c r="B158" s="53"/>
      <c r="C158" s="53"/>
      <c r="D158" s="53"/>
      <c r="E158" s="60" t="s">
        <v>18</v>
      </c>
      <c r="F158" s="53"/>
      <c r="G158" s="55"/>
      <c r="H158" s="162" t="s">
        <v>12</v>
      </c>
      <c r="I158" s="57"/>
      <c r="J158" s="57"/>
      <c r="K158" s="58"/>
      <c r="L158" s="59">
        <f t="shared" ref="L158:N158" ca="1" si="76">L161+L164</f>
        <v>0</v>
      </c>
      <c r="M158" s="59">
        <f t="shared" ca="1" si="76"/>
        <v>0</v>
      </c>
      <c r="N158" s="59">
        <f t="shared" ca="1" si="76"/>
        <v>0</v>
      </c>
      <c r="O158" s="59">
        <f t="shared" ca="1" si="74"/>
        <v>0</v>
      </c>
      <c r="P158" s="59">
        <f t="shared" ca="1" si="75"/>
        <v>0</v>
      </c>
    </row>
    <row r="159" spans="1:16" ht="18.75" x14ac:dyDescent="0.25">
      <c r="A159" s="157"/>
      <c r="B159" s="53"/>
      <c r="C159" s="53"/>
      <c r="D159" s="53"/>
      <c r="E159" s="60" t="s">
        <v>19</v>
      </c>
      <c r="F159" s="53"/>
      <c r="G159" s="55"/>
      <c r="H159" s="162" t="s">
        <v>12</v>
      </c>
      <c r="I159" s="57"/>
      <c r="J159" s="57"/>
      <c r="K159" s="58"/>
      <c r="L159" s="59">
        <f t="shared" ref="L159:N159" ca="1" si="77">L162+L165</f>
        <v>27000</v>
      </c>
      <c r="M159" s="59">
        <f t="shared" ca="1" si="77"/>
        <v>0</v>
      </c>
      <c r="N159" s="59">
        <f t="shared" ca="1" si="77"/>
        <v>0</v>
      </c>
      <c r="O159" s="59">
        <f t="shared" ca="1" si="74"/>
        <v>0</v>
      </c>
      <c r="P159" s="59">
        <f t="shared" ca="1" si="75"/>
        <v>0</v>
      </c>
    </row>
    <row r="160" spans="1:16" ht="18.75" x14ac:dyDescent="0.25">
      <c r="A160" s="157"/>
      <c r="B160" s="53"/>
      <c r="C160" s="53"/>
      <c r="D160" s="54" t="s">
        <v>20</v>
      </c>
      <c r="E160" s="53"/>
      <c r="F160" s="53"/>
      <c r="G160" s="55"/>
      <c r="H160" s="163" t="s">
        <v>12</v>
      </c>
      <c r="I160" s="164"/>
      <c r="J160" s="164"/>
      <c r="K160" s="165"/>
      <c r="L160" s="59">
        <f t="shared" ref="L160:N160" ca="1" si="78">L161+L162</f>
        <v>27000</v>
      </c>
      <c r="M160" s="59">
        <f t="shared" ca="1" si="78"/>
        <v>0</v>
      </c>
      <c r="N160" s="59">
        <f t="shared" ca="1" si="78"/>
        <v>0</v>
      </c>
      <c r="O160" s="59">
        <f t="shared" ca="1" si="74"/>
        <v>0</v>
      </c>
      <c r="P160" s="59">
        <f t="shared" ca="1" si="75"/>
        <v>0</v>
      </c>
    </row>
    <row r="161" spans="1:16" ht="18.75" x14ac:dyDescent="0.25">
      <c r="A161" s="157"/>
      <c r="B161" s="53"/>
      <c r="C161" s="53"/>
      <c r="D161" s="53"/>
      <c r="E161" s="60" t="s">
        <v>34</v>
      </c>
      <c r="F161" s="53"/>
      <c r="G161" s="55"/>
      <c r="H161" s="163" t="s">
        <v>12</v>
      </c>
      <c r="I161" s="164"/>
      <c r="J161" s="164"/>
      <c r="K161" s="165"/>
      <c r="L161" s="59">
        <f ca="1">IFERROR(__xludf.DUMMYFUNCTION("IMPORTRANGE(""https://docs.google.com/spreadsheets/d/1yhBcrRPreicbMKl9Bu_Snb2-OcQAF62RKfhTLhJ2eAA/edit?usp=sharing"",""กาฬสินธุ์!L161"")+IMPORTRANGE(""https://docs.google.com/spreadsheets/d/1aHkj4IaQMThhwWwevcOymEh837vdxeC_PycurhTbGFA/edit?usp=sharing"","&amp;"""ขอนแก่น!L161"")+IMPORTRANGE(""https://docs.google.com/spreadsheets/d/1FvTu2DsIWUjP6WCWra38Bkj_oOl_sOMf14r5Fg5srxU/edit?usp=sharing"",""ชัยภูมิ!L161"")+IMPORTRANGE(""https://docs.google.com/spreadsheets/d/1XVB7oCJ3pr-vBUdflwPQ8Z2LlzhnCvZaaYjAfP-647E/edit"&amp;"?usp=sharing"",""นครพนม!L161"")+IMPORTRANGE(""https://docs.google.com/spreadsheets/d/1Mnpb-8PYAgn85W6KOTD40hc_Xc55CaLfHoGAbrZ8tls/edit?usp=sharing"",""นครราชสีมา!L161"")+IMPORTRANGE(""https://docs.google.com/spreadsheets/d/1xoDLGBv9CYbyosIhki0kTq6IpYNj-gp"&amp;"jxfobnaDiut0/edit?usp=sharing"",""บึงกาฬ!L161"")+IMPORTRANGE(""https://docs.google.com/spreadsheets/d/1MMPq-JyI6DSgQETxuSiXkesP-P7JHuemnE6QJIa-Nlw/edit?usp=sharing"",""บุรีรัมย์!L161"")+IMPORTRANGE(""https://docs.google.com/spreadsheets/d/1l6IZ8xUPgMrESzc"&amp;"TYwhA1k_tPjeQjJPTqlm8Gd9eU5g/edit?usp=sharing"",""มหาสารคาม!L161"")+IMPORTRANGE(""https://docs.google.com/spreadsheets/d/1uB74YLqNjWX6FObjekfB2NtSYigTQyR2rq9u4Ub2Sq4/edit?usp=sharing"",""มุกดาหาร!L161"")+IMPORTRANGE(""https://docs.google.com/spreadsheets/"&amp;"d/1NexK3geCPxCTO1fzNF8dPec7yZyUx3OaWkFBC9HsQOo/edit?usp=sharing"",""ยโสธร!L161"")+IMPORTRANGE(""https://docs.google.com/spreadsheets/d/1v_cJrbBlyqmnHPReHk44g9NrMRdENNlSy_E_c5M9fIg/edit?usp=sharing"",""ร้อยเอ็ด!L161"")+IMPORTRANGE(""https://docs.google.com"&amp;"/spreadsheets/d/1Ul4RCpCX66NxYADU1QpwAPjOmBzW64SsT11s1wzXw_c/edit?usp=sharing"",""เลย!L161"")+IMPORTRANGE(""https://docs.google.com/spreadsheets/d/1bRrNKwbHDVktQG10isr5vbWRtt5spIZPpkOSWgbT5ug/edit?usp=sharing"",""ศรีสะเกษ!L161"")+IMPORTRANGE(""https://doc"&amp;"s.google.com/spreadsheets/d/17P34_Ow5kFBfdQD0qspb2UuPX5zpi6WMrQzslghyvrI/edit?usp=sharing"",""สกลนคร!L161"")+IMPORTRANGE(""https://docs.google.com/spreadsheets/d/1yswqbM3-AEpThF3ZSUa1AcmHnmRTF1vlJ1CZGcJ8YuU/edit?usp=sharing"",""สุรินทร์!L161"")+IMPORTRANG"&amp;"E(""https://docs.google.com/spreadsheets/d/13JHU_EFbsQOUQ0JSQ3dWy1VTRosIWcDq6Nc99z2qzdc/edit?usp=sharing"",""หนองคาย!L161"")+IMPORTRANGE(""https://docs.google.com/spreadsheets/d/1Hx73zIEgVdDZZaYSTc46Dqv64atFhpr3GelxLbaIN8A/edit?usp=sharing"",""หนองบัวลำภู"&amp;"!L161"")+IMPORTRANGE(""https://docs.google.com/spreadsheets/d/1lFxr3ctmjFN90yc-xV6jrQ9Ty8BKYVBWnAZ15wcNIJc/edit?usp=sharing"",""อำนาจเจริญ!L161"")+IMPORTRANGE(""https://docs.google.com/spreadsheets/d/1gF7RJpRnL-1oyjyeWxs5SFWEH7y8ahOZsQlyp2A2e-A/edit?usp=s"&amp;"haring"",""อุดรธานี!L161"")+IMPORTRANGE(""https://docs.google.com/spreadsheets/d/1kfLP0j3INXRa8bTDpcEmoWewMBV61jlFlfzczfjWIgc/edit?usp=sharing"",""อุบลราชธานี!L161"")"),0)</f>
        <v>0</v>
      </c>
      <c r="M161" s="59">
        <f ca="1">IFERROR(__xludf.DUMMYFUNCTION("IMPORTRANGE(""https://docs.google.com/spreadsheets/d/1yhBcrRPreicbMKl9Bu_Snb2-OcQAF62RKfhTLhJ2eAA/edit?usp=sharing"",""กาฬสินธุ์!M161"")+IMPORTRANGE(""https://docs.google.com/spreadsheets/d/1aHkj4IaQMThhwWwevcOymEh837vdxeC_PycurhTbGFA/edit?usp=sharing"","&amp;"""ขอนแก่น!M161"")+IMPORTRANGE(""https://docs.google.com/spreadsheets/d/1FvTu2DsIWUjP6WCWra38Bkj_oOl_sOMf14r5Fg5srxU/edit?usp=sharing"",""ชัยภูมิ!M161"")+IMPORTRANGE(""https://docs.google.com/spreadsheets/d/1XVB7oCJ3pr-vBUdflwPQ8Z2LlzhnCvZaaYjAfP-647E/edit"&amp;"?usp=sharing"",""นครพนม!M161"")+IMPORTRANGE(""https://docs.google.com/spreadsheets/d/1Mnpb-8PYAgn85W6KOTD40hc_Xc55CaLfHoGAbrZ8tls/edit?usp=sharing"",""นครราชสีมา!M161"")+IMPORTRANGE(""https://docs.google.com/spreadsheets/d/1xoDLGBv9CYbyosIhki0kTq6IpYNj-gp"&amp;"jxfobnaDiut0/edit?usp=sharing"",""บึงกาฬ!M161"")+IMPORTRANGE(""https://docs.google.com/spreadsheets/d/1MMPq-JyI6DSgQETxuSiXkesP-P7JHuemnE6QJIa-Nlw/edit?usp=sharing"",""บุรีรัมย์!M161"")+IMPORTRANGE(""https://docs.google.com/spreadsheets/d/1l6IZ8xUPgMrESzc"&amp;"TYwhA1k_tPjeQjJPTqlm8Gd9eU5g/edit?usp=sharing"",""มหาสารคาม!M161"")+IMPORTRANGE(""https://docs.google.com/spreadsheets/d/1uB74YLqNjWX6FObjekfB2NtSYigTQyR2rq9u4Ub2Sq4/edit?usp=sharing"",""มุกดาหาร!M161"")+IMPORTRANGE(""https://docs.google.com/spreadsheets/"&amp;"d/1NexK3geCPxCTO1fzNF8dPec7yZyUx3OaWkFBC9HsQOo/edit?usp=sharing"",""ยโสธร!M161"")+IMPORTRANGE(""https://docs.google.com/spreadsheets/d/1v_cJrbBlyqmnHPReHk44g9NrMRdENNlSy_E_c5M9fIg/edit?usp=sharing"",""ร้อยเอ็ด!M161"")+IMPORTRANGE(""https://docs.google.com"&amp;"/spreadsheets/d/1Ul4RCpCX66NxYADU1QpwAPjOmBzW64SsT11s1wzXw_c/edit?usp=sharing"",""เลย!M161"")+IMPORTRANGE(""https://docs.google.com/spreadsheets/d/1bRrNKwbHDVktQG10isr5vbWRtt5spIZPpkOSWgbT5ug/edit?usp=sharing"",""ศรีสะเกษ!M161"")+IMPORTRANGE(""https://doc"&amp;"s.google.com/spreadsheets/d/17P34_Ow5kFBfdQD0qspb2UuPX5zpi6WMrQzslghyvrI/edit?usp=sharing"",""สกลนคร!M161"")+IMPORTRANGE(""https://docs.google.com/spreadsheets/d/1yswqbM3-AEpThF3ZSUa1AcmHnmRTF1vlJ1CZGcJ8YuU/edit?usp=sharing"",""สุรินทร์!M161"")+IMPORTRANG"&amp;"E(""https://docs.google.com/spreadsheets/d/13JHU_EFbsQOUQ0JSQ3dWy1VTRosIWcDq6Nc99z2qzdc/edit?usp=sharing"",""หนองคาย!M161"")+IMPORTRANGE(""https://docs.google.com/spreadsheets/d/1Hx73zIEgVdDZZaYSTc46Dqv64atFhpr3GelxLbaIN8A/edit?usp=sharing"",""หนองบัวลำภู"&amp;"!M161"")+IMPORTRANGE(""https://docs.google.com/spreadsheets/d/1lFxr3ctmjFN90yc-xV6jrQ9Ty8BKYVBWnAZ15wcNIJc/edit?usp=sharing"",""อำนาจเจริญ!M161"")+IMPORTRANGE(""https://docs.google.com/spreadsheets/d/1gF7RJpRnL-1oyjyeWxs5SFWEH7y8ahOZsQlyp2A2e-A/edit?usp=s"&amp;"haring"",""อุดรธานี!M161"")+IMPORTRANGE(""https://docs.google.com/spreadsheets/d/1kfLP0j3INXRa8bTDpcEmoWewMBV61jlFlfzczfjWIgc/edit?usp=sharing"",""อุบลราชธานี!M161"")"),0)</f>
        <v>0</v>
      </c>
      <c r="N161" s="59">
        <f ca="1">IFERROR(__xludf.DUMMYFUNCTION("IMPORTRANGE(""https://docs.google.com/spreadsheets/d/1yhBcrRPreicbMKl9Bu_Snb2-OcQAF62RKfhTLhJ2eAA/edit?usp=sharing"",""กาฬสินธุ์!N161"")+IMPORTRANGE(""https://docs.google.com/spreadsheets/d/1aHkj4IaQMThhwWwevcOymEh837vdxeC_PycurhTbGFA/edit?usp=sharing"","&amp;"""ขอนแก่น!N161"")+IMPORTRANGE(""https://docs.google.com/spreadsheets/d/1FvTu2DsIWUjP6WCWra38Bkj_oOl_sOMf14r5Fg5srxU/edit?usp=sharing"",""ชัยภูมิ!N161"")+IMPORTRANGE(""https://docs.google.com/spreadsheets/d/1XVB7oCJ3pr-vBUdflwPQ8Z2LlzhnCvZaaYjAfP-647E/edit"&amp;"?usp=sharing"",""นครพนม!N161"")+IMPORTRANGE(""https://docs.google.com/spreadsheets/d/1Mnpb-8PYAgn85W6KOTD40hc_Xc55CaLfHoGAbrZ8tls/edit?usp=sharing"",""นครราชสีมา!N161"")+IMPORTRANGE(""https://docs.google.com/spreadsheets/d/1xoDLGBv9CYbyosIhki0kTq6IpYNj-gp"&amp;"jxfobnaDiut0/edit?usp=sharing"",""บึงกาฬ!N161"")+IMPORTRANGE(""https://docs.google.com/spreadsheets/d/1MMPq-JyI6DSgQETxuSiXkesP-P7JHuemnE6QJIa-Nlw/edit?usp=sharing"",""บุรีรัมย์!N161"")+IMPORTRANGE(""https://docs.google.com/spreadsheets/d/1l6IZ8xUPgMrESzc"&amp;"TYwhA1k_tPjeQjJPTqlm8Gd9eU5g/edit?usp=sharing"",""มหาสารคาม!N161"")+IMPORTRANGE(""https://docs.google.com/spreadsheets/d/1uB74YLqNjWX6FObjekfB2NtSYigTQyR2rq9u4Ub2Sq4/edit?usp=sharing"",""มุกดาหาร!N161"")+IMPORTRANGE(""https://docs.google.com/spreadsheets/"&amp;"d/1NexK3geCPxCTO1fzNF8dPec7yZyUx3OaWkFBC9HsQOo/edit?usp=sharing"",""ยโสธร!N161"")+IMPORTRANGE(""https://docs.google.com/spreadsheets/d/1v_cJrbBlyqmnHPReHk44g9NrMRdENNlSy_E_c5M9fIg/edit?usp=sharing"",""ร้อยเอ็ด!N161"")+IMPORTRANGE(""https://docs.google.com"&amp;"/spreadsheets/d/1Ul4RCpCX66NxYADU1QpwAPjOmBzW64SsT11s1wzXw_c/edit?usp=sharing"",""เลย!N161"")+IMPORTRANGE(""https://docs.google.com/spreadsheets/d/1bRrNKwbHDVktQG10isr5vbWRtt5spIZPpkOSWgbT5ug/edit?usp=sharing"",""ศรีสะเกษ!N161"")+IMPORTRANGE(""https://doc"&amp;"s.google.com/spreadsheets/d/17P34_Ow5kFBfdQD0qspb2UuPX5zpi6WMrQzslghyvrI/edit?usp=sharing"",""สกลนคร!N161"")+IMPORTRANGE(""https://docs.google.com/spreadsheets/d/1yswqbM3-AEpThF3ZSUa1AcmHnmRTF1vlJ1CZGcJ8YuU/edit?usp=sharing"",""สุรินทร์!N161"")+IMPORTRANG"&amp;"E(""https://docs.google.com/spreadsheets/d/13JHU_EFbsQOUQ0JSQ3dWy1VTRosIWcDq6Nc99z2qzdc/edit?usp=sharing"",""หนองคาย!N161"")+IMPORTRANGE(""https://docs.google.com/spreadsheets/d/1Hx73zIEgVdDZZaYSTc46Dqv64atFhpr3GelxLbaIN8A/edit?usp=sharing"",""หนองบัวลำภู"&amp;"!N161"")+IMPORTRANGE(""https://docs.google.com/spreadsheets/d/1lFxr3ctmjFN90yc-xV6jrQ9Ty8BKYVBWnAZ15wcNIJc/edit?usp=sharing"",""อำนาจเจริญ!N161"")+IMPORTRANGE(""https://docs.google.com/spreadsheets/d/1gF7RJpRnL-1oyjyeWxs5SFWEH7y8ahOZsQlyp2A2e-A/edit?usp=s"&amp;"haring"",""อุดรธานี!N161"")+IMPORTRANGE(""https://docs.google.com/spreadsheets/d/1kfLP0j3INXRa8bTDpcEmoWewMBV61jlFlfzczfjWIgc/edit?usp=sharing"",""อุบลราชธานี!N161"")"),0)</f>
        <v>0</v>
      </c>
      <c r="O161" s="59">
        <f t="shared" ca="1" si="74"/>
        <v>0</v>
      </c>
      <c r="P161" s="59">
        <f t="shared" ca="1" si="75"/>
        <v>0</v>
      </c>
    </row>
    <row r="162" spans="1:16" ht="18.75" x14ac:dyDescent="0.25">
      <c r="A162" s="157"/>
      <c r="B162" s="53"/>
      <c r="C162" s="53"/>
      <c r="D162" s="53"/>
      <c r="E162" s="60" t="s">
        <v>35</v>
      </c>
      <c r="F162" s="53"/>
      <c r="G162" s="55"/>
      <c r="H162" s="163" t="s">
        <v>12</v>
      </c>
      <c r="I162" s="164"/>
      <c r="J162" s="164"/>
      <c r="K162" s="165"/>
      <c r="L162" s="59">
        <f ca="1">IFERROR(__xludf.DUMMYFUNCTION("IMPORTRANGE(""https://docs.google.com/spreadsheets/d/1yhBcrRPreicbMKl9Bu_Snb2-OcQAF62RKfhTLhJ2eAA/edit?usp=sharing"",""กาฬสินธุ์!L162"")+IMPORTRANGE(""https://docs.google.com/spreadsheets/d/1aHkj4IaQMThhwWwevcOymEh837vdxeC_PycurhTbGFA/edit?usp=sharing"","&amp;"""ขอนแก่น!L162"")+IMPORTRANGE(""https://docs.google.com/spreadsheets/d/1FvTu2DsIWUjP6WCWra38Bkj_oOl_sOMf14r5Fg5srxU/edit?usp=sharing"",""ชัยภูมิ!L162"")+IMPORTRANGE(""https://docs.google.com/spreadsheets/d/1XVB7oCJ3pr-vBUdflwPQ8Z2LlzhnCvZaaYjAfP-647E/edit"&amp;"?usp=sharing"",""นครพนม!L162"")+IMPORTRANGE(""https://docs.google.com/spreadsheets/d/1Mnpb-8PYAgn85W6KOTD40hc_Xc55CaLfHoGAbrZ8tls/edit?usp=sharing"",""นครราชสีมา!L162"")+IMPORTRANGE(""https://docs.google.com/spreadsheets/d/1xoDLGBv9CYbyosIhki0kTq6IpYNj-gp"&amp;"jxfobnaDiut0/edit?usp=sharing"",""บึงกาฬ!L162"")+IMPORTRANGE(""https://docs.google.com/spreadsheets/d/1MMPq-JyI6DSgQETxuSiXkesP-P7JHuemnE6QJIa-Nlw/edit?usp=sharing"",""บุรีรัมย์!L162"")+IMPORTRANGE(""https://docs.google.com/spreadsheets/d/1l6IZ8xUPgMrESzc"&amp;"TYwhA1k_tPjeQjJPTqlm8Gd9eU5g/edit?usp=sharing"",""มหาสารคาม!L162"")+IMPORTRANGE(""https://docs.google.com/spreadsheets/d/1uB74YLqNjWX6FObjekfB2NtSYigTQyR2rq9u4Ub2Sq4/edit?usp=sharing"",""มุกดาหาร!L162"")+IMPORTRANGE(""https://docs.google.com/spreadsheets/"&amp;"d/1NexK3geCPxCTO1fzNF8dPec7yZyUx3OaWkFBC9HsQOo/edit?usp=sharing"",""ยโสธร!L162"")+IMPORTRANGE(""https://docs.google.com/spreadsheets/d/1v_cJrbBlyqmnHPReHk44g9NrMRdENNlSy_E_c5M9fIg/edit?usp=sharing"",""ร้อยเอ็ด!L162"")+IMPORTRANGE(""https://docs.google.com"&amp;"/spreadsheets/d/1Ul4RCpCX66NxYADU1QpwAPjOmBzW64SsT11s1wzXw_c/edit?usp=sharing"",""เลย!L162"")+IMPORTRANGE(""https://docs.google.com/spreadsheets/d/1bRrNKwbHDVktQG10isr5vbWRtt5spIZPpkOSWgbT5ug/edit?usp=sharing"",""ศรีสะเกษ!L162"")+IMPORTRANGE(""https://doc"&amp;"s.google.com/spreadsheets/d/17P34_Ow5kFBfdQD0qspb2UuPX5zpi6WMrQzslghyvrI/edit?usp=sharing"",""สกลนคร!L162"")+IMPORTRANGE(""https://docs.google.com/spreadsheets/d/1yswqbM3-AEpThF3ZSUa1AcmHnmRTF1vlJ1CZGcJ8YuU/edit?usp=sharing"",""สุรินทร์!L162"")+IMPORTRANG"&amp;"E(""https://docs.google.com/spreadsheets/d/13JHU_EFbsQOUQ0JSQ3dWy1VTRosIWcDq6Nc99z2qzdc/edit?usp=sharing"",""หนองคาย!L162"")+IMPORTRANGE(""https://docs.google.com/spreadsheets/d/1Hx73zIEgVdDZZaYSTc46Dqv64atFhpr3GelxLbaIN8A/edit?usp=sharing"",""หนองบัวลำภู"&amp;"!L162"")+IMPORTRANGE(""https://docs.google.com/spreadsheets/d/1lFxr3ctmjFN90yc-xV6jrQ9Ty8BKYVBWnAZ15wcNIJc/edit?usp=sharing"",""อำนาจเจริญ!L162"")+IMPORTRANGE(""https://docs.google.com/spreadsheets/d/1gF7RJpRnL-1oyjyeWxs5SFWEH7y8ahOZsQlyp2A2e-A/edit?usp=s"&amp;"haring"",""อุดรธานี!L162"")+IMPORTRANGE(""https://docs.google.com/spreadsheets/d/1kfLP0j3INXRa8bTDpcEmoWewMBV61jlFlfzczfjWIgc/edit?usp=sharing"",""อุบลราชธานี!L162"")"),27000)</f>
        <v>27000</v>
      </c>
      <c r="M162" s="59">
        <f ca="1">IFERROR(__xludf.DUMMYFUNCTION("IMPORTRANGE(""https://docs.google.com/spreadsheets/d/1yhBcrRPreicbMKl9Bu_Snb2-OcQAF62RKfhTLhJ2eAA/edit?usp=sharing"",""กาฬสินธุ์!M162"")+IMPORTRANGE(""https://docs.google.com/spreadsheets/d/1aHkj4IaQMThhwWwevcOymEh837vdxeC_PycurhTbGFA/edit?usp=sharing"","&amp;"""ขอนแก่น!M162"")+IMPORTRANGE(""https://docs.google.com/spreadsheets/d/1FvTu2DsIWUjP6WCWra38Bkj_oOl_sOMf14r5Fg5srxU/edit?usp=sharing"",""ชัยภูมิ!M162"")+IMPORTRANGE(""https://docs.google.com/spreadsheets/d/1XVB7oCJ3pr-vBUdflwPQ8Z2LlzhnCvZaaYjAfP-647E/edit"&amp;"?usp=sharing"",""นครพนม!M162"")+IMPORTRANGE(""https://docs.google.com/spreadsheets/d/1Mnpb-8PYAgn85W6KOTD40hc_Xc55CaLfHoGAbrZ8tls/edit?usp=sharing"",""นครราชสีมา!M162"")+IMPORTRANGE(""https://docs.google.com/spreadsheets/d/1xoDLGBv9CYbyosIhki0kTq6IpYNj-gp"&amp;"jxfobnaDiut0/edit?usp=sharing"",""บึงกาฬ!M162"")+IMPORTRANGE(""https://docs.google.com/spreadsheets/d/1MMPq-JyI6DSgQETxuSiXkesP-P7JHuemnE6QJIa-Nlw/edit?usp=sharing"",""บุรีรัมย์!M162"")+IMPORTRANGE(""https://docs.google.com/spreadsheets/d/1l6IZ8xUPgMrESzc"&amp;"TYwhA1k_tPjeQjJPTqlm8Gd9eU5g/edit?usp=sharing"",""มหาสารคาม!M162"")+IMPORTRANGE(""https://docs.google.com/spreadsheets/d/1uB74YLqNjWX6FObjekfB2NtSYigTQyR2rq9u4Ub2Sq4/edit?usp=sharing"",""มุกดาหาร!M162"")+IMPORTRANGE(""https://docs.google.com/spreadsheets/"&amp;"d/1NexK3geCPxCTO1fzNF8dPec7yZyUx3OaWkFBC9HsQOo/edit?usp=sharing"",""ยโสธร!M162"")+IMPORTRANGE(""https://docs.google.com/spreadsheets/d/1v_cJrbBlyqmnHPReHk44g9NrMRdENNlSy_E_c5M9fIg/edit?usp=sharing"",""ร้อยเอ็ด!M162"")+IMPORTRANGE(""https://docs.google.com"&amp;"/spreadsheets/d/1Ul4RCpCX66NxYADU1QpwAPjOmBzW64SsT11s1wzXw_c/edit?usp=sharing"",""เลย!M162"")+IMPORTRANGE(""https://docs.google.com/spreadsheets/d/1bRrNKwbHDVktQG10isr5vbWRtt5spIZPpkOSWgbT5ug/edit?usp=sharing"",""ศรีสะเกษ!M162"")+IMPORTRANGE(""https://doc"&amp;"s.google.com/spreadsheets/d/17P34_Ow5kFBfdQD0qspb2UuPX5zpi6WMrQzslghyvrI/edit?usp=sharing"",""สกลนคร!M162"")+IMPORTRANGE(""https://docs.google.com/spreadsheets/d/1yswqbM3-AEpThF3ZSUa1AcmHnmRTF1vlJ1CZGcJ8YuU/edit?usp=sharing"",""สุรินทร์!M162"")+IMPORTRANG"&amp;"E(""https://docs.google.com/spreadsheets/d/13JHU_EFbsQOUQ0JSQ3dWy1VTRosIWcDq6Nc99z2qzdc/edit?usp=sharing"",""หนองคาย!M162"")+IMPORTRANGE(""https://docs.google.com/spreadsheets/d/1Hx73zIEgVdDZZaYSTc46Dqv64atFhpr3GelxLbaIN8A/edit?usp=sharing"",""หนองบัวลำภู"&amp;"!M162"")+IMPORTRANGE(""https://docs.google.com/spreadsheets/d/1lFxr3ctmjFN90yc-xV6jrQ9Ty8BKYVBWnAZ15wcNIJc/edit?usp=sharing"",""อำนาจเจริญ!M162"")+IMPORTRANGE(""https://docs.google.com/spreadsheets/d/1gF7RJpRnL-1oyjyeWxs5SFWEH7y8ahOZsQlyp2A2e-A/edit?usp=s"&amp;"haring"",""อุดรธานี!M162"")+IMPORTRANGE(""https://docs.google.com/spreadsheets/d/1kfLP0j3INXRa8bTDpcEmoWewMBV61jlFlfzczfjWIgc/edit?usp=sharing"",""อุบลราชธานี!M162"")"),0)</f>
        <v>0</v>
      </c>
      <c r="N162" s="59">
        <f ca="1">IFERROR(__xludf.DUMMYFUNCTION("IMPORTRANGE(""https://docs.google.com/spreadsheets/d/1yhBcrRPreicbMKl9Bu_Snb2-OcQAF62RKfhTLhJ2eAA/edit?usp=sharing"",""กาฬสินธุ์!N162"")+IMPORTRANGE(""https://docs.google.com/spreadsheets/d/1aHkj4IaQMThhwWwevcOymEh837vdxeC_PycurhTbGFA/edit?usp=sharing"","&amp;"""ขอนแก่น!N162"")+IMPORTRANGE(""https://docs.google.com/spreadsheets/d/1FvTu2DsIWUjP6WCWra38Bkj_oOl_sOMf14r5Fg5srxU/edit?usp=sharing"",""ชัยภูมิ!N162"")+IMPORTRANGE(""https://docs.google.com/spreadsheets/d/1XVB7oCJ3pr-vBUdflwPQ8Z2LlzhnCvZaaYjAfP-647E/edit"&amp;"?usp=sharing"",""นครพนม!N162"")+IMPORTRANGE(""https://docs.google.com/spreadsheets/d/1Mnpb-8PYAgn85W6KOTD40hc_Xc55CaLfHoGAbrZ8tls/edit?usp=sharing"",""นครราชสีมา!N162"")+IMPORTRANGE(""https://docs.google.com/spreadsheets/d/1xoDLGBv9CYbyosIhki0kTq6IpYNj-gp"&amp;"jxfobnaDiut0/edit?usp=sharing"",""บึงกาฬ!N162"")+IMPORTRANGE(""https://docs.google.com/spreadsheets/d/1MMPq-JyI6DSgQETxuSiXkesP-P7JHuemnE6QJIa-Nlw/edit?usp=sharing"",""บุรีรัมย์!N162"")+IMPORTRANGE(""https://docs.google.com/spreadsheets/d/1l6IZ8xUPgMrESzc"&amp;"TYwhA1k_tPjeQjJPTqlm8Gd9eU5g/edit?usp=sharing"",""มหาสารคาม!N162"")+IMPORTRANGE(""https://docs.google.com/spreadsheets/d/1uB74YLqNjWX6FObjekfB2NtSYigTQyR2rq9u4Ub2Sq4/edit?usp=sharing"",""มุกดาหาร!N162"")+IMPORTRANGE(""https://docs.google.com/spreadsheets/"&amp;"d/1NexK3geCPxCTO1fzNF8dPec7yZyUx3OaWkFBC9HsQOo/edit?usp=sharing"",""ยโสธร!N162"")+IMPORTRANGE(""https://docs.google.com/spreadsheets/d/1v_cJrbBlyqmnHPReHk44g9NrMRdENNlSy_E_c5M9fIg/edit?usp=sharing"",""ร้อยเอ็ด!N162"")+IMPORTRANGE(""https://docs.google.com"&amp;"/spreadsheets/d/1Ul4RCpCX66NxYADU1QpwAPjOmBzW64SsT11s1wzXw_c/edit?usp=sharing"",""เลย!N162"")+IMPORTRANGE(""https://docs.google.com/spreadsheets/d/1bRrNKwbHDVktQG10isr5vbWRtt5spIZPpkOSWgbT5ug/edit?usp=sharing"",""ศรีสะเกษ!N162"")+IMPORTRANGE(""https://doc"&amp;"s.google.com/spreadsheets/d/17P34_Ow5kFBfdQD0qspb2UuPX5zpi6WMrQzslghyvrI/edit?usp=sharing"",""สกลนคร!N162"")+IMPORTRANGE(""https://docs.google.com/spreadsheets/d/1yswqbM3-AEpThF3ZSUa1AcmHnmRTF1vlJ1CZGcJ8YuU/edit?usp=sharing"",""สุรินทร์!N162"")+IMPORTRANG"&amp;"E(""https://docs.google.com/spreadsheets/d/13JHU_EFbsQOUQ0JSQ3dWy1VTRosIWcDq6Nc99z2qzdc/edit?usp=sharing"",""หนองคาย!N162"")+IMPORTRANGE(""https://docs.google.com/spreadsheets/d/1Hx73zIEgVdDZZaYSTc46Dqv64atFhpr3GelxLbaIN8A/edit?usp=sharing"",""หนองบัวลำภู"&amp;"!N162"")+IMPORTRANGE(""https://docs.google.com/spreadsheets/d/1lFxr3ctmjFN90yc-xV6jrQ9Ty8BKYVBWnAZ15wcNIJc/edit?usp=sharing"",""อำนาจเจริญ!N162"")+IMPORTRANGE(""https://docs.google.com/spreadsheets/d/1gF7RJpRnL-1oyjyeWxs5SFWEH7y8ahOZsQlyp2A2e-A/edit?usp=s"&amp;"haring"",""อุดรธานี!N162"")+IMPORTRANGE(""https://docs.google.com/spreadsheets/d/1kfLP0j3INXRa8bTDpcEmoWewMBV61jlFlfzczfjWIgc/edit?usp=sharing"",""อุบลราชธานี!N162"")"),0)</f>
        <v>0</v>
      </c>
      <c r="O162" s="59">
        <f t="shared" ca="1" si="74"/>
        <v>0</v>
      </c>
      <c r="P162" s="59">
        <f t="shared" ca="1" si="75"/>
        <v>0</v>
      </c>
    </row>
    <row r="163" spans="1:16" ht="18.75" x14ac:dyDescent="0.25">
      <c r="A163" s="157"/>
      <c r="B163" s="53"/>
      <c r="C163" s="53"/>
      <c r="D163" s="54" t="s">
        <v>21</v>
      </c>
      <c r="E163" s="53"/>
      <c r="F163" s="53"/>
      <c r="G163" s="55"/>
      <c r="H163" s="166" t="s">
        <v>12</v>
      </c>
      <c r="I163" s="164"/>
      <c r="J163" s="164"/>
      <c r="K163" s="165"/>
      <c r="L163" s="59">
        <f t="shared" ref="L163:N163" ca="1" si="79">L164+L165</f>
        <v>0</v>
      </c>
      <c r="M163" s="59">
        <f t="shared" ca="1" si="79"/>
        <v>0</v>
      </c>
      <c r="N163" s="59">
        <f t="shared" ca="1" si="79"/>
        <v>0</v>
      </c>
      <c r="O163" s="59">
        <f t="shared" ca="1" si="74"/>
        <v>0</v>
      </c>
      <c r="P163" s="59">
        <f t="shared" ca="1" si="75"/>
        <v>0</v>
      </c>
    </row>
    <row r="164" spans="1:16" ht="18.75" x14ac:dyDescent="0.25">
      <c r="A164" s="157"/>
      <c r="B164" s="53"/>
      <c r="C164" s="53"/>
      <c r="D164" s="53"/>
      <c r="E164" s="60" t="s">
        <v>18</v>
      </c>
      <c r="F164" s="53"/>
      <c r="G164" s="55"/>
      <c r="H164" s="163" t="s">
        <v>12</v>
      </c>
      <c r="I164" s="164"/>
      <c r="J164" s="164"/>
      <c r="K164" s="165"/>
      <c r="L164" s="59">
        <f ca="1">IFERROR(__xludf.DUMMYFUNCTION("IMPORTRANGE(""https://docs.google.com/spreadsheets/d/1yhBcrRPreicbMKl9Bu_Snb2-OcQAF62RKfhTLhJ2eAA/edit?usp=sharing"",""กาฬสินธุ์!L164"")+IMPORTRANGE(""https://docs.google.com/spreadsheets/d/1aHkj4IaQMThhwWwevcOymEh837vdxeC_PycurhTbGFA/edit?usp=sharing"","&amp;"""ขอนแก่น!L164"")+IMPORTRANGE(""https://docs.google.com/spreadsheets/d/1FvTu2DsIWUjP6WCWra38Bkj_oOl_sOMf14r5Fg5srxU/edit?usp=sharing"",""ชัยภูมิ!L164"")+IMPORTRANGE(""https://docs.google.com/spreadsheets/d/1XVB7oCJ3pr-vBUdflwPQ8Z2LlzhnCvZaaYjAfP-647E/edit"&amp;"?usp=sharing"",""นครพนม!L164"")+IMPORTRANGE(""https://docs.google.com/spreadsheets/d/1Mnpb-8PYAgn85W6KOTD40hc_Xc55CaLfHoGAbrZ8tls/edit?usp=sharing"",""นครราชสีมา!L164"")+IMPORTRANGE(""https://docs.google.com/spreadsheets/d/1xoDLGBv9CYbyosIhki0kTq6IpYNj-gp"&amp;"jxfobnaDiut0/edit?usp=sharing"",""บึงกาฬ!L164"")+IMPORTRANGE(""https://docs.google.com/spreadsheets/d/1MMPq-JyI6DSgQETxuSiXkesP-P7JHuemnE6QJIa-Nlw/edit?usp=sharing"",""บุรีรัมย์!L164"")+IMPORTRANGE(""https://docs.google.com/spreadsheets/d/1l6IZ8xUPgMrESzc"&amp;"TYwhA1k_tPjeQjJPTqlm8Gd9eU5g/edit?usp=sharing"",""มหาสารคาม!L164"")+IMPORTRANGE(""https://docs.google.com/spreadsheets/d/1uB74YLqNjWX6FObjekfB2NtSYigTQyR2rq9u4Ub2Sq4/edit?usp=sharing"",""มุกดาหาร!L164"")+IMPORTRANGE(""https://docs.google.com/spreadsheets/"&amp;"d/1NexK3geCPxCTO1fzNF8dPec7yZyUx3OaWkFBC9HsQOo/edit?usp=sharing"",""ยโสธร!L164"")+IMPORTRANGE(""https://docs.google.com/spreadsheets/d/1v_cJrbBlyqmnHPReHk44g9NrMRdENNlSy_E_c5M9fIg/edit?usp=sharing"",""ร้อยเอ็ด!L164"")+IMPORTRANGE(""https://docs.google.com"&amp;"/spreadsheets/d/1Ul4RCpCX66NxYADU1QpwAPjOmBzW64SsT11s1wzXw_c/edit?usp=sharing"",""เลย!L164"")+IMPORTRANGE(""https://docs.google.com/spreadsheets/d/1bRrNKwbHDVktQG10isr5vbWRtt5spIZPpkOSWgbT5ug/edit?usp=sharing"",""ศรีสะเกษ!L164"")+IMPORTRANGE(""https://doc"&amp;"s.google.com/spreadsheets/d/17P34_Ow5kFBfdQD0qspb2UuPX5zpi6WMrQzslghyvrI/edit?usp=sharing"",""สกลนคร!L164"")+IMPORTRANGE(""https://docs.google.com/spreadsheets/d/1yswqbM3-AEpThF3ZSUa1AcmHnmRTF1vlJ1CZGcJ8YuU/edit?usp=sharing"",""สุรินทร์!L164"")+IMPORTRANG"&amp;"E(""https://docs.google.com/spreadsheets/d/13JHU_EFbsQOUQ0JSQ3dWy1VTRosIWcDq6Nc99z2qzdc/edit?usp=sharing"",""หนองคาย!L164"")+IMPORTRANGE(""https://docs.google.com/spreadsheets/d/1Hx73zIEgVdDZZaYSTc46Dqv64atFhpr3GelxLbaIN8A/edit?usp=sharing"",""หนองบัวลำภู"&amp;"!L164"")+IMPORTRANGE(""https://docs.google.com/spreadsheets/d/1lFxr3ctmjFN90yc-xV6jrQ9Ty8BKYVBWnAZ15wcNIJc/edit?usp=sharing"",""อำนาจเจริญ!L164"")+IMPORTRANGE(""https://docs.google.com/spreadsheets/d/1gF7RJpRnL-1oyjyeWxs5SFWEH7y8ahOZsQlyp2A2e-A/edit?usp=s"&amp;"haring"",""อุดรธานี!L164"")+IMPORTRANGE(""https://docs.google.com/spreadsheets/d/1kfLP0j3INXRa8bTDpcEmoWewMBV61jlFlfzczfjWIgc/edit?usp=sharing"",""อุบลราชธานี!L164"")"),0)</f>
        <v>0</v>
      </c>
      <c r="M164" s="59">
        <f ca="1">IFERROR(__xludf.DUMMYFUNCTION("IMPORTRANGE(""https://docs.google.com/spreadsheets/d/1yhBcrRPreicbMKl9Bu_Snb2-OcQAF62RKfhTLhJ2eAA/edit?usp=sharing"",""กาฬสินธุ์!M164"")+IMPORTRANGE(""https://docs.google.com/spreadsheets/d/1aHkj4IaQMThhwWwevcOymEh837vdxeC_PycurhTbGFA/edit?usp=sharing"","&amp;"""ขอนแก่น!M164"")+IMPORTRANGE(""https://docs.google.com/spreadsheets/d/1FvTu2DsIWUjP6WCWra38Bkj_oOl_sOMf14r5Fg5srxU/edit?usp=sharing"",""ชัยภูมิ!M164"")+IMPORTRANGE(""https://docs.google.com/spreadsheets/d/1XVB7oCJ3pr-vBUdflwPQ8Z2LlzhnCvZaaYjAfP-647E/edit"&amp;"?usp=sharing"",""นครพนม!M164"")+IMPORTRANGE(""https://docs.google.com/spreadsheets/d/1Mnpb-8PYAgn85W6KOTD40hc_Xc55CaLfHoGAbrZ8tls/edit?usp=sharing"",""นครราชสีมา!M164"")+IMPORTRANGE(""https://docs.google.com/spreadsheets/d/1xoDLGBv9CYbyosIhki0kTq6IpYNj-gp"&amp;"jxfobnaDiut0/edit?usp=sharing"",""บึงกาฬ!M164"")+IMPORTRANGE(""https://docs.google.com/spreadsheets/d/1MMPq-JyI6DSgQETxuSiXkesP-P7JHuemnE6QJIa-Nlw/edit?usp=sharing"",""บุรีรัมย์!M164"")+IMPORTRANGE(""https://docs.google.com/spreadsheets/d/1l6IZ8xUPgMrESzc"&amp;"TYwhA1k_tPjeQjJPTqlm8Gd9eU5g/edit?usp=sharing"",""มหาสารคาม!M164"")+IMPORTRANGE(""https://docs.google.com/spreadsheets/d/1uB74YLqNjWX6FObjekfB2NtSYigTQyR2rq9u4Ub2Sq4/edit?usp=sharing"",""มุกดาหาร!M164"")+IMPORTRANGE(""https://docs.google.com/spreadsheets/"&amp;"d/1NexK3geCPxCTO1fzNF8dPec7yZyUx3OaWkFBC9HsQOo/edit?usp=sharing"",""ยโสธร!M164"")+IMPORTRANGE(""https://docs.google.com/spreadsheets/d/1v_cJrbBlyqmnHPReHk44g9NrMRdENNlSy_E_c5M9fIg/edit?usp=sharing"",""ร้อยเอ็ด!M164"")+IMPORTRANGE(""https://docs.google.com"&amp;"/spreadsheets/d/1Ul4RCpCX66NxYADU1QpwAPjOmBzW64SsT11s1wzXw_c/edit?usp=sharing"",""เลย!M164"")+IMPORTRANGE(""https://docs.google.com/spreadsheets/d/1bRrNKwbHDVktQG10isr5vbWRtt5spIZPpkOSWgbT5ug/edit?usp=sharing"",""ศรีสะเกษ!M164"")+IMPORTRANGE(""https://doc"&amp;"s.google.com/spreadsheets/d/17P34_Ow5kFBfdQD0qspb2UuPX5zpi6WMrQzslghyvrI/edit?usp=sharing"",""สกลนคร!M164"")+IMPORTRANGE(""https://docs.google.com/spreadsheets/d/1yswqbM3-AEpThF3ZSUa1AcmHnmRTF1vlJ1CZGcJ8YuU/edit?usp=sharing"",""สุรินทร์!M164"")+IMPORTRANG"&amp;"E(""https://docs.google.com/spreadsheets/d/13JHU_EFbsQOUQ0JSQ3dWy1VTRosIWcDq6Nc99z2qzdc/edit?usp=sharing"",""หนองคาย!M164"")+IMPORTRANGE(""https://docs.google.com/spreadsheets/d/1Hx73zIEgVdDZZaYSTc46Dqv64atFhpr3GelxLbaIN8A/edit?usp=sharing"",""หนองบัวลำภู"&amp;"!M164"")+IMPORTRANGE(""https://docs.google.com/spreadsheets/d/1lFxr3ctmjFN90yc-xV6jrQ9Ty8BKYVBWnAZ15wcNIJc/edit?usp=sharing"",""อำนาจเจริญ!M164"")+IMPORTRANGE(""https://docs.google.com/spreadsheets/d/1gF7RJpRnL-1oyjyeWxs5SFWEH7y8ahOZsQlyp2A2e-A/edit?usp=s"&amp;"haring"",""อุดรธานี!M164"")+IMPORTRANGE(""https://docs.google.com/spreadsheets/d/1kfLP0j3INXRa8bTDpcEmoWewMBV61jlFlfzczfjWIgc/edit?usp=sharing"",""อุบลราชธานี!M164"")"),0)</f>
        <v>0</v>
      </c>
      <c r="N164" s="59">
        <f ca="1">IFERROR(__xludf.DUMMYFUNCTION("IMPORTRANGE(""https://docs.google.com/spreadsheets/d/1yhBcrRPreicbMKl9Bu_Snb2-OcQAF62RKfhTLhJ2eAA/edit?usp=sharing"",""กาฬสินธุ์!N164"")+IMPORTRANGE(""https://docs.google.com/spreadsheets/d/1aHkj4IaQMThhwWwevcOymEh837vdxeC_PycurhTbGFA/edit?usp=sharing"","&amp;"""ขอนแก่น!N164"")+IMPORTRANGE(""https://docs.google.com/spreadsheets/d/1FvTu2DsIWUjP6WCWra38Bkj_oOl_sOMf14r5Fg5srxU/edit?usp=sharing"",""ชัยภูมิ!N164"")+IMPORTRANGE(""https://docs.google.com/spreadsheets/d/1XVB7oCJ3pr-vBUdflwPQ8Z2LlzhnCvZaaYjAfP-647E/edit"&amp;"?usp=sharing"",""นครพนม!N164"")+IMPORTRANGE(""https://docs.google.com/spreadsheets/d/1Mnpb-8PYAgn85W6KOTD40hc_Xc55CaLfHoGAbrZ8tls/edit?usp=sharing"",""นครราชสีมา!N164"")+IMPORTRANGE(""https://docs.google.com/spreadsheets/d/1xoDLGBv9CYbyosIhki0kTq6IpYNj-gp"&amp;"jxfobnaDiut0/edit?usp=sharing"",""บึงกาฬ!N164"")+IMPORTRANGE(""https://docs.google.com/spreadsheets/d/1MMPq-JyI6DSgQETxuSiXkesP-P7JHuemnE6QJIa-Nlw/edit?usp=sharing"",""บุรีรัมย์!N164"")+IMPORTRANGE(""https://docs.google.com/spreadsheets/d/1l6IZ8xUPgMrESzc"&amp;"TYwhA1k_tPjeQjJPTqlm8Gd9eU5g/edit?usp=sharing"",""มหาสารคาม!N164"")+IMPORTRANGE(""https://docs.google.com/spreadsheets/d/1uB74YLqNjWX6FObjekfB2NtSYigTQyR2rq9u4Ub2Sq4/edit?usp=sharing"",""มุกดาหาร!N164"")+IMPORTRANGE(""https://docs.google.com/spreadsheets/"&amp;"d/1NexK3geCPxCTO1fzNF8dPec7yZyUx3OaWkFBC9HsQOo/edit?usp=sharing"",""ยโสธร!N164"")+IMPORTRANGE(""https://docs.google.com/spreadsheets/d/1v_cJrbBlyqmnHPReHk44g9NrMRdENNlSy_E_c5M9fIg/edit?usp=sharing"",""ร้อยเอ็ด!N164"")+IMPORTRANGE(""https://docs.google.com"&amp;"/spreadsheets/d/1Ul4RCpCX66NxYADU1QpwAPjOmBzW64SsT11s1wzXw_c/edit?usp=sharing"",""เลย!N164"")+IMPORTRANGE(""https://docs.google.com/spreadsheets/d/1bRrNKwbHDVktQG10isr5vbWRtt5spIZPpkOSWgbT5ug/edit?usp=sharing"",""ศรีสะเกษ!N164"")+IMPORTRANGE(""https://doc"&amp;"s.google.com/spreadsheets/d/17P34_Ow5kFBfdQD0qspb2UuPX5zpi6WMrQzslghyvrI/edit?usp=sharing"",""สกลนคร!N164"")+IMPORTRANGE(""https://docs.google.com/spreadsheets/d/1yswqbM3-AEpThF3ZSUa1AcmHnmRTF1vlJ1CZGcJ8YuU/edit?usp=sharing"",""สุรินทร์!N164"")+IMPORTRANG"&amp;"E(""https://docs.google.com/spreadsheets/d/13JHU_EFbsQOUQ0JSQ3dWy1VTRosIWcDq6Nc99z2qzdc/edit?usp=sharing"",""หนองคาย!N164"")+IMPORTRANGE(""https://docs.google.com/spreadsheets/d/1Hx73zIEgVdDZZaYSTc46Dqv64atFhpr3GelxLbaIN8A/edit?usp=sharing"",""หนองบัวลำภู"&amp;"!N164"")+IMPORTRANGE(""https://docs.google.com/spreadsheets/d/1lFxr3ctmjFN90yc-xV6jrQ9Ty8BKYVBWnAZ15wcNIJc/edit?usp=sharing"",""อำนาจเจริญ!N164"")+IMPORTRANGE(""https://docs.google.com/spreadsheets/d/1gF7RJpRnL-1oyjyeWxs5SFWEH7y8ahOZsQlyp2A2e-A/edit?usp=s"&amp;"haring"",""อุดรธานี!N164"")+IMPORTRANGE(""https://docs.google.com/spreadsheets/d/1kfLP0j3INXRa8bTDpcEmoWewMBV61jlFlfzczfjWIgc/edit?usp=sharing"",""อุบลราชธานี!N164"")"),0)</f>
        <v>0</v>
      </c>
      <c r="O164" s="59">
        <f t="shared" ca="1" si="74"/>
        <v>0</v>
      </c>
      <c r="P164" s="59">
        <f t="shared" ca="1" si="75"/>
        <v>0</v>
      </c>
    </row>
    <row r="165" spans="1:16" ht="18.75" x14ac:dyDescent="0.25">
      <c r="A165" s="157"/>
      <c r="B165" s="53"/>
      <c r="C165" s="53"/>
      <c r="D165" s="53"/>
      <c r="E165" s="60" t="s">
        <v>19</v>
      </c>
      <c r="F165" s="53"/>
      <c r="G165" s="55"/>
      <c r="H165" s="166" t="s">
        <v>12</v>
      </c>
      <c r="I165" s="164"/>
      <c r="J165" s="164"/>
      <c r="K165" s="165"/>
      <c r="L165" s="59">
        <f ca="1">IFERROR(__xludf.DUMMYFUNCTION("IMPORTRANGE(""https://docs.google.com/spreadsheets/d/1yhBcrRPreicbMKl9Bu_Snb2-OcQAF62RKfhTLhJ2eAA/edit?usp=sharing"",""กาฬสินธุ์!L165"")+IMPORTRANGE(""https://docs.google.com/spreadsheets/d/1aHkj4IaQMThhwWwevcOymEh837vdxeC_PycurhTbGFA/edit?usp=sharing"","&amp;"""ขอนแก่น!L165"")+IMPORTRANGE(""https://docs.google.com/spreadsheets/d/1FvTu2DsIWUjP6WCWra38Bkj_oOl_sOMf14r5Fg5srxU/edit?usp=sharing"",""ชัยภูมิ!L165"")+IMPORTRANGE(""https://docs.google.com/spreadsheets/d/1XVB7oCJ3pr-vBUdflwPQ8Z2LlzhnCvZaaYjAfP-647E/edit"&amp;"?usp=sharing"",""นครพนม!L165"")+IMPORTRANGE(""https://docs.google.com/spreadsheets/d/1Mnpb-8PYAgn85W6KOTD40hc_Xc55CaLfHoGAbrZ8tls/edit?usp=sharing"",""นครราชสีมา!L165"")+IMPORTRANGE(""https://docs.google.com/spreadsheets/d/1xoDLGBv9CYbyosIhki0kTq6IpYNj-gp"&amp;"jxfobnaDiut0/edit?usp=sharing"",""บึงกาฬ!L165"")+IMPORTRANGE(""https://docs.google.com/spreadsheets/d/1MMPq-JyI6DSgQETxuSiXkesP-P7JHuemnE6QJIa-Nlw/edit?usp=sharing"",""บุรีรัมย์!L165"")+IMPORTRANGE(""https://docs.google.com/spreadsheets/d/1l6IZ8xUPgMrESzc"&amp;"TYwhA1k_tPjeQjJPTqlm8Gd9eU5g/edit?usp=sharing"",""มหาสารคาม!L165"")+IMPORTRANGE(""https://docs.google.com/spreadsheets/d/1uB74YLqNjWX6FObjekfB2NtSYigTQyR2rq9u4Ub2Sq4/edit?usp=sharing"",""มุกดาหาร!L165"")+IMPORTRANGE(""https://docs.google.com/spreadsheets/"&amp;"d/1NexK3geCPxCTO1fzNF8dPec7yZyUx3OaWkFBC9HsQOo/edit?usp=sharing"",""ยโสธร!L165"")+IMPORTRANGE(""https://docs.google.com/spreadsheets/d/1v_cJrbBlyqmnHPReHk44g9NrMRdENNlSy_E_c5M9fIg/edit?usp=sharing"",""ร้อยเอ็ด!L165"")+IMPORTRANGE(""https://docs.google.com"&amp;"/spreadsheets/d/1Ul4RCpCX66NxYADU1QpwAPjOmBzW64SsT11s1wzXw_c/edit?usp=sharing"",""เลย!L165"")+IMPORTRANGE(""https://docs.google.com/spreadsheets/d/1bRrNKwbHDVktQG10isr5vbWRtt5spIZPpkOSWgbT5ug/edit?usp=sharing"",""ศรีสะเกษ!L165"")+IMPORTRANGE(""https://doc"&amp;"s.google.com/spreadsheets/d/17P34_Ow5kFBfdQD0qspb2UuPX5zpi6WMrQzslghyvrI/edit?usp=sharing"",""สกลนคร!L165"")+IMPORTRANGE(""https://docs.google.com/spreadsheets/d/1yswqbM3-AEpThF3ZSUa1AcmHnmRTF1vlJ1CZGcJ8YuU/edit?usp=sharing"",""สุรินทร์!L165"")+IMPORTRANG"&amp;"E(""https://docs.google.com/spreadsheets/d/13JHU_EFbsQOUQ0JSQ3dWy1VTRosIWcDq6Nc99z2qzdc/edit?usp=sharing"",""หนองคาย!L165"")+IMPORTRANGE(""https://docs.google.com/spreadsheets/d/1Hx73zIEgVdDZZaYSTc46Dqv64atFhpr3GelxLbaIN8A/edit?usp=sharing"",""หนองบัวลำภู"&amp;"!L165"")+IMPORTRANGE(""https://docs.google.com/spreadsheets/d/1lFxr3ctmjFN90yc-xV6jrQ9Ty8BKYVBWnAZ15wcNIJc/edit?usp=sharing"",""อำนาจเจริญ!L165"")+IMPORTRANGE(""https://docs.google.com/spreadsheets/d/1gF7RJpRnL-1oyjyeWxs5SFWEH7y8ahOZsQlyp2A2e-A/edit?usp=s"&amp;"haring"",""อุดรธานี!L165"")+IMPORTRANGE(""https://docs.google.com/spreadsheets/d/1kfLP0j3INXRa8bTDpcEmoWewMBV61jlFlfzczfjWIgc/edit?usp=sharing"",""อุบลราชธานี!L165"")"),0)</f>
        <v>0</v>
      </c>
      <c r="M165" s="59">
        <f ca="1">IFERROR(__xludf.DUMMYFUNCTION("IMPORTRANGE(""https://docs.google.com/spreadsheets/d/1yhBcrRPreicbMKl9Bu_Snb2-OcQAF62RKfhTLhJ2eAA/edit?usp=sharing"",""กาฬสินธุ์!M165"")+IMPORTRANGE(""https://docs.google.com/spreadsheets/d/1aHkj4IaQMThhwWwevcOymEh837vdxeC_PycurhTbGFA/edit?usp=sharing"","&amp;"""ขอนแก่น!M165"")+IMPORTRANGE(""https://docs.google.com/spreadsheets/d/1FvTu2DsIWUjP6WCWra38Bkj_oOl_sOMf14r5Fg5srxU/edit?usp=sharing"",""ชัยภูมิ!M165"")+IMPORTRANGE(""https://docs.google.com/spreadsheets/d/1XVB7oCJ3pr-vBUdflwPQ8Z2LlzhnCvZaaYjAfP-647E/edit"&amp;"?usp=sharing"",""นครพนม!M165"")+IMPORTRANGE(""https://docs.google.com/spreadsheets/d/1Mnpb-8PYAgn85W6KOTD40hc_Xc55CaLfHoGAbrZ8tls/edit?usp=sharing"",""นครราชสีมา!M165"")+IMPORTRANGE(""https://docs.google.com/spreadsheets/d/1xoDLGBv9CYbyosIhki0kTq6IpYNj-gp"&amp;"jxfobnaDiut0/edit?usp=sharing"",""บึงกาฬ!M165"")+IMPORTRANGE(""https://docs.google.com/spreadsheets/d/1MMPq-JyI6DSgQETxuSiXkesP-P7JHuemnE6QJIa-Nlw/edit?usp=sharing"",""บุรีรัมย์!M165"")+IMPORTRANGE(""https://docs.google.com/spreadsheets/d/1l6IZ8xUPgMrESzc"&amp;"TYwhA1k_tPjeQjJPTqlm8Gd9eU5g/edit?usp=sharing"",""มหาสารคาม!M165"")+IMPORTRANGE(""https://docs.google.com/spreadsheets/d/1uB74YLqNjWX6FObjekfB2NtSYigTQyR2rq9u4Ub2Sq4/edit?usp=sharing"",""มุกดาหาร!M165"")+IMPORTRANGE(""https://docs.google.com/spreadsheets/"&amp;"d/1NexK3geCPxCTO1fzNF8dPec7yZyUx3OaWkFBC9HsQOo/edit?usp=sharing"",""ยโสธร!M165"")+IMPORTRANGE(""https://docs.google.com/spreadsheets/d/1v_cJrbBlyqmnHPReHk44g9NrMRdENNlSy_E_c5M9fIg/edit?usp=sharing"",""ร้อยเอ็ด!M165"")+IMPORTRANGE(""https://docs.google.com"&amp;"/spreadsheets/d/1Ul4RCpCX66NxYADU1QpwAPjOmBzW64SsT11s1wzXw_c/edit?usp=sharing"",""เลย!M165"")+IMPORTRANGE(""https://docs.google.com/spreadsheets/d/1bRrNKwbHDVktQG10isr5vbWRtt5spIZPpkOSWgbT5ug/edit?usp=sharing"",""ศรีสะเกษ!M165"")+IMPORTRANGE(""https://doc"&amp;"s.google.com/spreadsheets/d/17P34_Ow5kFBfdQD0qspb2UuPX5zpi6WMrQzslghyvrI/edit?usp=sharing"",""สกลนคร!M165"")+IMPORTRANGE(""https://docs.google.com/spreadsheets/d/1yswqbM3-AEpThF3ZSUa1AcmHnmRTF1vlJ1CZGcJ8YuU/edit?usp=sharing"",""สุรินทร์!M165"")+IMPORTRANG"&amp;"E(""https://docs.google.com/spreadsheets/d/13JHU_EFbsQOUQ0JSQ3dWy1VTRosIWcDq6Nc99z2qzdc/edit?usp=sharing"",""หนองคาย!M165"")+IMPORTRANGE(""https://docs.google.com/spreadsheets/d/1Hx73zIEgVdDZZaYSTc46Dqv64atFhpr3GelxLbaIN8A/edit?usp=sharing"",""หนองบัวลำภู"&amp;"!M165"")+IMPORTRANGE(""https://docs.google.com/spreadsheets/d/1lFxr3ctmjFN90yc-xV6jrQ9Ty8BKYVBWnAZ15wcNIJc/edit?usp=sharing"",""อำนาจเจริญ!M165"")+IMPORTRANGE(""https://docs.google.com/spreadsheets/d/1gF7RJpRnL-1oyjyeWxs5SFWEH7y8ahOZsQlyp2A2e-A/edit?usp=s"&amp;"haring"",""อุดรธานี!M165"")+IMPORTRANGE(""https://docs.google.com/spreadsheets/d/1kfLP0j3INXRa8bTDpcEmoWewMBV61jlFlfzczfjWIgc/edit?usp=sharing"",""อุบลราชธานี!M165"")"),0)</f>
        <v>0</v>
      </c>
      <c r="N165" s="59">
        <f ca="1">IFERROR(__xludf.DUMMYFUNCTION("IMPORTRANGE(""https://docs.google.com/spreadsheets/d/1yhBcrRPreicbMKl9Bu_Snb2-OcQAF62RKfhTLhJ2eAA/edit?usp=sharing"",""กาฬสินธุ์!N165"")+IMPORTRANGE(""https://docs.google.com/spreadsheets/d/1aHkj4IaQMThhwWwevcOymEh837vdxeC_PycurhTbGFA/edit?usp=sharing"","&amp;"""ขอนแก่น!N165"")+IMPORTRANGE(""https://docs.google.com/spreadsheets/d/1FvTu2DsIWUjP6WCWra38Bkj_oOl_sOMf14r5Fg5srxU/edit?usp=sharing"",""ชัยภูมิ!N165"")+IMPORTRANGE(""https://docs.google.com/spreadsheets/d/1XVB7oCJ3pr-vBUdflwPQ8Z2LlzhnCvZaaYjAfP-647E/edit"&amp;"?usp=sharing"",""นครพนม!N165"")+IMPORTRANGE(""https://docs.google.com/spreadsheets/d/1Mnpb-8PYAgn85W6KOTD40hc_Xc55CaLfHoGAbrZ8tls/edit?usp=sharing"",""นครราชสีมา!N165"")+IMPORTRANGE(""https://docs.google.com/spreadsheets/d/1xoDLGBv9CYbyosIhki0kTq6IpYNj-gp"&amp;"jxfobnaDiut0/edit?usp=sharing"",""บึงกาฬ!N165"")+IMPORTRANGE(""https://docs.google.com/spreadsheets/d/1MMPq-JyI6DSgQETxuSiXkesP-P7JHuemnE6QJIa-Nlw/edit?usp=sharing"",""บุรีรัมย์!N165"")+IMPORTRANGE(""https://docs.google.com/spreadsheets/d/1l6IZ8xUPgMrESzc"&amp;"TYwhA1k_tPjeQjJPTqlm8Gd9eU5g/edit?usp=sharing"",""มหาสารคาม!N165"")+IMPORTRANGE(""https://docs.google.com/spreadsheets/d/1uB74YLqNjWX6FObjekfB2NtSYigTQyR2rq9u4Ub2Sq4/edit?usp=sharing"",""มุกดาหาร!N165"")+IMPORTRANGE(""https://docs.google.com/spreadsheets/"&amp;"d/1NexK3geCPxCTO1fzNF8dPec7yZyUx3OaWkFBC9HsQOo/edit?usp=sharing"",""ยโสธร!N165"")+IMPORTRANGE(""https://docs.google.com/spreadsheets/d/1v_cJrbBlyqmnHPReHk44g9NrMRdENNlSy_E_c5M9fIg/edit?usp=sharing"",""ร้อยเอ็ด!N165"")+IMPORTRANGE(""https://docs.google.com"&amp;"/spreadsheets/d/1Ul4RCpCX66NxYADU1QpwAPjOmBzW64SsT11s1wzXw_c/edit?usp=sharing"",""เลย!N165"")+IMPORTRANGE(""https://docs.google.com/spreadsheets/d/1bRrNKwbHDVktQG10isr5vbWRtt5spIZPpkOSWgbT5ug/edit?usp=sharing"",""ศรีสะเกษ!N165"")+IMPORTRANGE(""https://doc"&amp;"s.google.com/spreadsheets/d/17P34_Ow5kFBfdQD0qspb2UuPX5zpi6WMrQzslghyvrI/edit?usp=sharing"",""สกลนคร!N165"")+IMPORTRANGE(""https://docs.google.com/spreadsheets/d/1yswqbM3-AEpThF3ZSUa1AcmHnmRTF1vlJ1CZGcJ8YuU/edit?usp=sharing"",""สุรินทร์!N165"")+IMPORTRANG"&amp;"E(""https://docs.google.com/spreadsheets/d/13JHU_EFbsQOUQ0JSQ3dWy1VTRosIWcDq6Nc99z2qzdc/edit?usp=sharing"",""หนองคาย!N165"")+IMPORTRANGE(""https://docs.google.com/spreadsheets/d/1Hx73zIEgVdDZZaYSTc46Dqv64atFhpr3GelxLbaIN8A/edit?usp=sharing"",""หนองบัวลำภู"&amp;"!N165"")+IMPORTRANGE(""https://docs.google.com/spreadsheets/d/1lFxr3ctmjFN90yc-xV6jrQ9Ty8BKYVBWnAZ15wcNIJc/edit?usp=sharing"",""อำนาจเจริญ!N165"")+IMPORTRANGE(""https://docs.google.com/spreadsheets/d/1gF7RJpRnL-1oyjyeWxs5SFWEH7y8ahOZsQlyp2A2e-A/edit?usp=s"&amp;"haring"",""อุดรธานี!N165"")+IMPORTRANGE(""https://docs.google.com/spreadsheets/d/1kfLP0j3INXRa8bTDpcEmoWewMBV61jlFlfzczfjWIgc/edit?usp=sharing"",""อุบลราชธานี!N165"")"),0)</f>
        <v>0</v>
      </c>
      <c r="O165" s="59">
        <f t="shared" ca="1" si="74"/>
        <v>0</v>
      </c>
      <c r="P165" s="59">
        <f t="shared" ca="1" si="75"/>
        <v>0</v>
      </c>
    </row>
    <row r="166" spans="1:16" ht="19.5" x14ac:dyDescent="0.3">
      <c r="A166" s="167"/>
      <c r="B166" s="168"/>
      <c r="C166" s="158" t="s">
        <v>16</v>
      </c>
      <c r="D166" s="169" t="s">
        <v>36</v>
      </c>
      <c r="E166" s="170"/>
      <c r="F166" s="170"/>
      <c r="G166" s="171"/>
      <c r="H166" s="225"/>
      <c r="I166" s="57"/>
      <c r="J166" s="57"/>
      <c r="K166" s="58"/>
      <c r="L166" s="58"/>
      <c r="M166" s="58"/>
      <c r="N166" s="58"/>
      <c r="O166" s="58"/>
      <c r="P166" s="58"/>
    </row>
    <row r="167" spans="1:16" ht="18.75" x14ac:dyDescent="0.25">
      <c r="A167" s="157"/>
      <c r="B167" s="53"/>
      <c r="C167" s="53"/>
      <c r="D167" s="250" t="s">
        <v>63</v>
      </c>
      <c r="E167" s="53"/>
      <c r="F167" s="53"/>
      <c r="G167" s="55"/>
      <c r="H167" s="166" t="s">
        <v>33</v>
      </c>
      <c r="I167" s="181">
        <f ca="1">IFERROR(__xludf.DUMMYFUNCTION("IMPORTRANGE(""https://docs.google.com/spreadsheets/d/1yhBcrRPreicbMKl9Bu_Snb2-OcQAF62RKfhTLhJ2eAA/edit?usp=sharing"",""กาฬสินธุ์!I167"")+IMPORTRANGE(""https://docs.google.com/spreadsheets/d/1aHkj4IaQMThhwWwevcOymEh837vdxeC_PycurhTbGFA/edit?usp=sharing"","&amp;"""ขอนแก่น!I167"")+IMPORTRANGE(""https://docs.google.com/spreadsheets/d/1FvTu2DsIWUjP6WCWra38Bkj_oOl_sOMf14r5Fg5srxU/edit?usp=sharing"",""ชัยภูมิ!I167"")+IMPORTRANGE(""https://docs.google.com/spreadsheets/d/1XVB7oCJ3pr-vBUdflwPQ8Z2LlzhnCvZaaYjAfP-647E/edit"&amp;"?usp=sharing"",""นครพนม!I167"")+IMPORTRANGE(""https://docs.google.com/spreadsheets/d/1Mnpb-8PYAgn85W6KOTD40hc_Xc55CaLfHoGAbrZ8tls/edit?usp=sharing"",""นครราชสีมา!I167"")+IMPORTRANGE(""https://docs.google.com/spreadsheets/d/1xoDLGBv9CYbyosIhki0kTq6IpYNj-gp"&amp;"jxfobnaDiut0/edit?usp=sharing"",""บึงกาฬ!I167"")+IMPORTRANGE(""https://docs.google.com/spreadsheets/d/1MMPq-JyI6DSgQETxuSiXkesP-P7JHuemnE6QJIa-Nlw/edit?usp=sharing"",""บุรีรัมย์!I167"")+IMPORTRANGE(""https://docs.google.com/spreadsheets/d/1l6IZ8xUPgMrESzc"&amp;"TYwhA1k_tPjeQjJPTqlm8Gd9eU5g/edit?usp=sharing"",""มหาสารคาม!I167"")+IMPORTRANGE(""https://docs.google.com/spreadsheets/d/1uB74YLqNjWX6FObjekfB2NtSYigTQyR2rq9u4Ub2Sq4/edit?usp=sharing"",""มุกดาหาร!I167"")+IMPORTRANGE(""https://docs.google.com/spreadsheets/"&amp;"d/1NexK3geCPxCTO1fzNF8dPec7yZyUx3OaWkFBC9HsQOo/edit?usp=sharing"",""ยโสธร!I167"")+IMPORTRANGE(""https://docs.google.com/spreadsheets/d/1v_cJrbBlyqmnHPReHk44g9NrMRdENNlSy_E_c5M9fIg/edit?usp=sharing"",""ร้อยเอ็ด!I167"")+IMPORTRANGE(""https://docs.google.com"&amp;"/spreadsheets/d/1Ul4RCpCX66NxYADU1QpwAPjOmBzW64SsT11s1wzXw_c/edit?usp=sharing"",""เลย!I167"")+IMPORTRANGE(""https://docs.google.com/spreadsheets/d/1bRrNKwbHDVktQG10isr5vbWRtt5spIZPpkOSWgbT5ug/edit?usp=sharing"",""ศรีสะเกษ!I167"")+IMPORTRANGE(""https://doc"&amp;"s.google.com/spreadsheets/d/17P34_Ow5kFBfdQD0qspb2UuPX5zpi6WMrQzslghyvrI/edit?usp=sharing"",""สกลนคร!I167"")+IMPORTRANGE(""https://docs.google.com/spreadsheets/d/1yswqbM3-AEpThF3ZSUa1AcmHnmRTF1vlJ1CZGcJ8YuU/edit?usp=sharing"",""สุรินทร์!I167"")+IMPORTRANG"&amp;"E(""https://docs.google.com/spreadsheets/d/13JHU_EFbsQOUQ0JSQ3dWy1VTRosIWcDq6Nc99z2qzdc/edit?usp=sharing"",""หนองคาย!I167"")+IMPORTRANGE(""https://docs.google.com/spreadsheets/d/1Hx73zIEgVdDZZaYSTc46Dqv64atFhpr3GelxLbaIN8A/edit?usp=sharing"",""หนองบัวลำภู"&amp;"!I167"")+IMPORTRANGE(""https://docs.google.com/spreadsheets/d/1lFxr3ctmjFN90yc-xV6jrQ9Ty8BKYVBWnAZ15wcNIJc/edit?usp=sharing"",""อำนาจเจริญ!I167"")+IMPORTRANGE(""https://docs.google.com/spreadsheets/d/1gF7RJpRnL-1oyjyeWxs5SFWEH7y8ahOZsQlyp2A2e-A/edit?usp=s"&amp;"haring"",""อุดรธานี!I167"")+IMPORTRANGE(""https://docs.google.com/spreadsheets/d/1kfLP0j3INXRa8bTDpcEmoWewMBV61jlFlfzczfjWIgc/edit?usp=sharing"",""อุบลราชธานี!I167"")"),90)</f>
        <v>90</v>
      </c>
      <c r="J167" s="181">
        <f ca="1">IFERROR(__xludf.DUMMYFUNCTION("IMPORTRANGE(""https://docs.google.com/spreadsheets/d/1yhBcrRPreicbMKl9Bu_Snb2-OcQAF62RKfhTLhJ2eAA/edit?usp=sharing"",""กาฬสินธุ์!J167"")+IMPORTRANGE(""https://docs.google.com/spreadsheets/d/1aHkj4IaQMThhwWwevcOymEh837vdxeC_PycurhTbGFA/edit?usp=sharing"","&amp;"""ขอนแก่น!J167"")+IMPORTRANGE(""https://docs.google.com/spreadsheets/d/1FvTu2DsIWUjP6WCWra38Bkj_oOl_sOMf14r5Fg5srxU/edit?usp=sharing"",""ชัยภูมิ!J167"")+IMPORTRANGE(""https://docs.google.com/spreadsheets/d/1XVB7oCJ3pr-vBUdflwPQ8Z2LlzhnCvZaaYjAfP-647E/edit"&amp;"?usp=sharing"",""นครพนม!J167"")+IMPORTRANGE(""https://docs.google.com/spreadsheets/d/1Mnpb-8PYAgn85W6KOTD40hc_Xc55CaLfHoGAbrZ8tls/edit?usp=sharing"",""นครราชสีมา!J167"")+IMPORTRANGE(""https://docs.google.com/spreadsheets/d/1xoDLGBv9CYbyosIhki0kTq6IpYNj-gp"&amp;"jxfobnaDiut0/edit?usp=sharing"",""บึงกาฬ!J167"")+IMPORTRANGE(""https://docs.google.com/spreadsheets/d/1MMPq-JyI6DSgQETxuSiXkesP-P7JHuemnE6QJIa-Nlw/edit?usp=sharing"",""บุรีรัมย์!J167"")+IMPORTRANGE(""https://docs.google.com/spreadsheets/d/1l6IZ8xUPgMrESzc"&amp;"TYwhA1k_tPjeQjJPTqlm8Gd9eU5g/edit?usp=sharing"",""มหาสารคาม!J167"")+IMPORTRANGE(""https://docs.google.com/spreadsheets/d/1uB74YLqNjWX6FObjekfB2NtSYigTQyR2rq9u4Ub2Sq4/edit?usp=sharing"",""มุกดาหาร!J167"")+IMPORTRANGE(""https://docs.google.com/spreadsheets/"&amp;"d/1NexK3geCPxCTO1fzNF8dPec7yZyUx3OaWkFBC9HsQOo/edit?usp=sharing"",""ยโสธร!J167"")+IMPORTRANGE(""https://docs.google.com/spreadsheets/d/1v_cJrbBlyqmnHPReHk44g9NrMRdENNlSy_E_c5M9fIg/edit?usp=sharing"",""ร้อยเอ็ด!J167"")+IMPORTRANGE(""https://docs.google.com"&amp;"/spreadsheets/d/1Ul4RCpCX66NxYADU1QpwAPjOmBzW64SsT11s1wzXw_c/edit?usp=sharing"",""เลย!J167"")+IMPORTRANGE(""https://docs.google.com/spreadsheets/d/1bRrNKwbHDVktQG10isr5vbWRtt5spIZPpkOSWgbT5ug/edit?usp=sharing"",""ศรีสะเกษ!J167"")+IMPORTRANGE(""https://doc"&amp;"s.google.com/spreadsheets/d/17P34_Ow5kFBfdQD0qspb2UuPX5zpi6WMrQzslghyvrI/edit?usp=sharing"",""สกลนคร!J167"")+IMPORTRANGE(""https://docs.google.com/spreadsheets/d/1yswqbM3-AEpThF3ZSUa1AcmHnmRTF1vlJ1CZGcJ8YuU/edit?usp=sharing"",""สุรินทร์!J167"")+IMPORTRANG"&amp;"E(""https://docs.google.com/spreadsheets/d/13JHU_EFbsQOUQ0JSQ3dWy1VTRosIWcDq6Nc99z2qzdc/edit?usp=sharing"",""หนองคาย!J167"")+IMPORTRANGE(""https://docs.google.com/spreadsheets/d/1Hx73zIEgVdDZZaYSTc46Dqv64atFhpr3GelxLbaIN8A/edit?usp=sharing"",""หนองบัวลำภู"&amp;"!J167"")+IMPORTRANGE(""https://docs.google.com/spreadsheets/d/1lFxr3ctmjFN90yc-xV6jrQ9Ty8BKYVBWnAZ15wcNIJc/edit?usp=sharing"",""อำนาจเจริญ!J167"")+IMPORTRANGE(""https://docs.google.com/spreadsheets/d/1gF7RJpRnL-1oyjyeWxs5SFWEH7y8ahOZsQlyp2A2e-A/edit?usp=s"&amp;"haring"",""อุดรธานี!J167"")+IMPORTRANGE(""https://docs.google.com/spreadsheets/d/1kfLP0j3INXRa8bTDpcEmoWewMBV61jlFlfzczfjWIgc/edit?usp=sharing"",""อุบลราชธานี!J167"")"),0)</f>
        <v>0</v>
      </c>
      <c r="K167" s="59">
        <f t="shared" ref="K167:K169" ca="1" si="80">IF(I167&gt;0,J167*100/I167,0)</f>
        <v>0</v>
      </c>
      <c r="L167" s="58"/>
      <c r="M167" s="58"/>
      <c r="N167" s="58"/>
      <c r="O167" s="58"/>
      <c r="P167" s="58"/>
    </row>
    <row r="168" spans="1:16" ht="18.75" x14ac:dyDescent="0.25">
      <c r="A168" s="157"/>
      <c r="B168" s="53"/>
      <c r="C168" s="53"/>
      <c r="D168" s="250" t="s">
        <v>64</v>
      </c>
      <c r="E168" s="53"/>
      <c r="F168" s="53"/>
      <c r="G168" s="55"/>
      <c r="H168" s="166" t="s">
        <v>33</v>
      </c>
      <c r="I168" s="181">
        <f t="shared" ref="I168:I169" ca="1" si="81">I167</f>
        <v>90</v>
      </c>
      <c r="J168" s="181">
        <v>0</v>
      </c>
      <c r="K168" s="59">
        <f t="shared" ca="1" si="80"/>
        <v>0</v>
      </c>
      <c r="L168" s="58"/>
      <c r="M168" s="58"/>
      <c r="N168" s="58"/>
      <c r="O168" s="58"/>
      <c r="P168" s="58"/>
    </row>
    <row r="169" spans="1:16" ht="18.75" x14ac:dyDescent="0.25">
      <c r="A169" s="251"/>
      <c r="B169" s="1"/>
      <c r="C169" s="1"/>
      <c r="D169" s="252" t="s">
        <v>65</v>
      </c>
      <c r="E169" s="1"/>
      <c r="F169" s="1"/>
      <c r="G169" s="135"/>
      <c r="H169" s="253" t="s">
        <v>33</v>
      </c>
      <c r="I169" s="254">
        <f t="shared" ca="1" si="81"/>
        <v>90</v>
      </c>
      <c r="J169" s="254">
        <v>0</v>
      </c>
      <c r="K169" s="139">
        <f t="shared" ca="1" si="80"/>
        <v>0</v>
      </c>
      <c r="L169" s="138"/>
      <c r="M169" s="138"/>
      <c r="N169" s="138"/>
      <c r="O169" s="138"/>
      <c r="P169" s="138"/>
    </row>
    <row r="170" spans="1:16" ht="19.5" x14ac:dyDescent="0.3">
      <c r="A170" s="255" t="s">
        <v>66</v>
      </c>
      <c r="B170" s="256"/>
      <c r="C170" s="256"/>
      <c r="D170" s="256"/>
      <c r="E170" s="257"/>
      <c r="F170" s="257"/>
      <c r="G170" s="257"/>
      <c r="H170" s="257"/>
      <c r="I170" s="258"/>
      <c r="J170" s="258"/>
      <c r="K170" s="259"/>
      <c r="L170" s="259"/>
      <c r="M170" s="259"/>
      <c r="N170" s="259"/>
      <c r="O170" s="259"/>
      <c r="P170" s="260"/>
    </row>
    <row r="171" spans="1:16" ht="19.5" x14ac:dyDescent="0.3">
      <c r="A171" s="261" t="s">
        <v>67</v>
      </c>
      <c r="B171" s="262"/>
      <c r="C171" s="262"/>
      <c r="D171" s="263"/>
      <c r="E171" s="263"/>
      <c r="F171" s="263"/>
      <c r="G171" s="264"/>
      <c r="H171" s="264"/>
      <c r="I171" s="265"/>
      <c r="J171" s="265"/>
      <c r="K171" s="266"/>
      <c r="L171" s="266"/>
      <c r="M171" s="266"/>
      <c r="N171" s="266"/>
      <c r="O171" s="266"/>
      <c r="P171" s="266"/>
    </row>
    <row r="172" spans="1:16" ht="19.5" x14ac:dyDescent="0.3">
      <c r="A172" s="267"/>
      <c r="B172" s="268" t="s">
        <v>68</v>
      </c>
      <c r="C172" s="269"/>
      <c r="D172" s="170"/>
      <c r="E172" s="170"/>
      <c r="F172" s="170"/>
      <c r="G172" s="171"/>
      <c r="H172" s="270" t="s">
        <v>33</v>
      </c>
      <c r="I172" s="271">
        <f t="shared" ref="I172:J172" ca="1" si="82">I183+I184</f>
        <v>141</v>
      </c>
      <c r="J172" s="271">
        <f t="shared" ca="1" si="82"/>
        <v>49</v>
      </c>
      <c r="K172" s="272">
        <f ca="1">IF(I172&gt;0,J172*100/I172,0)</f>
        <v>34.751773049645394</v>
      </c>
      <c r="L172" s="273"/>
      <c r="M172" s="273"/>
      <c r="N172" s="273"/>
      <c r="O172" s="273"/>
      <c r="P172" s="273"/>
    </row>
    <row r="173" spans="1:16" ht="19.5" x14ac:dyDescent="0.3">
      <c r="A173" s="157"/>
      <c r="B173" s="53"/>
      <c r="C173" s="158" t="s">
        <v>16</v>
      </c>
      <c r="D173" s="159" t="s">
        <v>17</v>
      </c>
      <c r="E173" s="53"/>
      <c r="F173" s="53"/>
      <c r="G173" s="55"/>
      <c r="H173" s="160" t="s">
        <v>12</v>
      </c>
      <c r="I173" s="57"/>
      <c r="J173" s="57"/>
      <c r="K173" s="58"/>
      <c r="L173" s="161">
        <f t="shared" ref="L173:N173" ca="1" si="83">L174+L175</f>
        <v>393170</v>
      </c>
      <c r="M173" s="161">
        <f t="shared" ca="1" si="83"/>
        <v>393170</v>
      </c>
      <c r="N173" s="161">
        <f t="shared" ca="1" si="83"/>
        <v>171120</v>
      </c>
      <c r="O173" s="161">
        <f t="shared" ref="O173:O181" ca="1" si="84">IF(L173&gt;0,N173*100/L173,0)</f>
        <v>43.523157921509778</v>
      </c>
      <c r="P173" s="161">
        <f t="shared" ref="P173:P181" ca="1" si="85">IF(M173&gt;0,N173*100/M173,0)</f>
        <v>43.523157921509778</v>
      </c>
    </row>
    <row r="174" spans="1:16" ht="18.75" x14ac:dyDescent="0.25">
      <c r="A174" s="157"/>
      <c r="B174" s="53"/>
      <c r="C174" s="53"/>
      <c r="D174" s="53"/>
      <c r="E174" s="60" t="s">
        <v>18</v>
      </c>
      <c r="F174" s="53"/>
      <c r="G174" s="55"/>
      <c r="H174" s="162" t="s">
        <v>12</v>
      </c>
      <c r="I174" s="57"/>
      <c r="J174" s="57"/>
      <c r="K174" s="58"/>
      <c r="L174" s="59">
        <f t="shared" ref="L174:N174" ca="1" si="86">L177+L180</f>
        <v>0</v>
      </c>
      <c r="M174" s="59">
        <f t="shared" ca="1" si="86"/>
        <v>0</v>
      </c>
      <c r="N174" s="59">
        <f t="shared" ca="1" si="86"/>
        <v>0</v>
      </c>
      <c r="O174" s="59">
        <f t="shared" ca="1" si="84"/>
        <v>0</v>
      </c>
      <c r="P174" s="59">
        <f t="shared" ca="1" si="85"/>
        <v>0</v>
      </c>
    </row>
    <row r="175" spans="1:16" ht="18.75" x14ac:dyDescent="0.25">
      <c r="A175" s="157"/>
      <c r="B175" s="53"/>
      <c r="C175" s="53"/>
      <c r="D175" s="53"/>
      <c r="E175" s="60" t="s">
        <v>19</v>
      </c>
      <c r="F175" s="53"/>
      <c r="G175" s="55"/>
      <c r="H175" s="162" t="s">
        <v>12</v>
      </c>
      <c r="I175" s="57"/>
      <c r="J175" s="57"/>
      <c r="K175" s="58"/>
      <c r="L175" s="59">
        <f t="shared" ref="L175:N175" ca="1" si="87">L178+L181</f>
        <v>393170</v>
      </c>
      <c r="M175" s="59">
        <f t="shared" ca="1" si="87"/>
        <v>393170</v>
      </c>
      <c r="N175" s="59">
        <f t="shared" ca="1" si="87"/>
        <v>171120</v>
      </c>
      <c r="O175" s="59">
        <f t="shared" ca="1" si="84"/>
        <v>43.523157921509778</v>
      </c>
      <c r="P175" s="59">
        <f t="shared" ca="1" si="85"/>
        <v>43.523157921509778</v>
      </c>
    </row>
    <row r="176" spans="1:16" ht="18.75" x14ac:dyDescent="0.25">
      <c r="A176" s="157"/>
      <c r="B176" s="53"/>
      <c r="C176" s="53"/>
      <c r="D176" s="54" t="s">
        <v>20</v>
      </c>
      <c r="E176" s="53"/>
      <c r="F176" s="53"/>
      <c r="G176" s="55"/>
      <c r="H176" s="163" t="s">
        <v>12</v>
      </c>
      <c r="I176" s="164"/>
      <c r="J176" s="164"/>
      <c r="K176" s="165"/>
      <c r="L176" s="59">
        <f t="shared" ref="L176:N176" ca="1" si="88">L177+L178</f>
        <v>393170</v>
      </c>
      <c r="M176" s="59">
        <f t="shared" ca="1" si="88"/>
        <v>393170</v>
      </c>
      <c r="N176" s="59">
        <f t="shared" ca="1" si="88"/>
        <v>171120</v>
      </c>
      <c r="O176" s="59">
        <f t="shared" ca="1" si="84"/>
        <v>43.523157921509778</v>
      </c>
      <c r="P176" s="59">
        <f t="shared" ca="1" si="85"/>
        <v>43.523157921509778</v>
      </c>
    </row>
    <row r="177" spans="1:16" ht="18.75" x14ac:dyDescent="0.25">
      <c r="A177" s="157"/>
      <c r="B177" s="53"/>
      <c r="C177" s="53"/>
      <c r="D177" s="53"/>
      <c r="E177" s="60" t="s">
        <v>34</v>
      </c>
      <c r="F177" s="53"/>
      <c r="G177" s="55"/>
      <c r="H177" s="163" t="s">
        <v>12</v>
      </c>
      <c r="I177" s="164"/>
      <c r="J177" s="164"/>
      <c r="K177" s="165"/>
      <c r="L177" s="59">
        <f ca="1">IFERROR(__xludf.DUMMYFUNCTION("IMPORTRANGE(""https://docs.google.com/spreadsheets/d/1yhBcrRPreicbMKl9Bu_Snb2-OcQAF62RKfhTLhJ2eAA/edit?usp=sharing"",""กาฬสินธุ์!L177"")+IMPORTRANGE(""https://docs.google.com/spreadsheets/d/1aHkj4IaQMThhwWwevcOymEh837vdxeC_PycurhTbGFA/edit?usp=sharing"","&amp;"""ขอนแก่น!L177"")+IMPORTRANGE(""https://docs.google.com/spreadsheets/d/1FvTu2DsIWUjP6WCWra38Bkj_oOl_sOMf14r5Fg5srxU/edit?usp=sharing"",""ชัยภูมิ!L177"")+IMPORTRANGE(""https://docs.google.com/spreadsheets/d/1XVB7oCJ3pr-vBUdflwPQ8Z2LlzhnCvZaaYjAfP-647E/edit"&amp;"?usp=sharing"",""นครพนม!L177"")+IMPORTRANGE(""https://docs.google.com/spreadsheets/d/1Mnpb-8PYAgn85W6KOTD40hc_Xc55CaLfHoGAbrZ8tls/edit?usp=sharing"",""นครราชสีมา!L177"")+IMPORTRANGE(""https://docs.google.com/spreadsheets/d/1xoDLGBv9CYbyosIhki0kTq6IpYNj-gp"&amp;"jxfobnaDiut0/edit?usp=sharing"",""บึงกาฬ!L177"")+IMPORTRANGE(""https://docs.google.com/spreadsheets/d/1MMPq-JyI6DSgQETxuSiXkesP-P7JHuemnE6QJIa-Nlw/edit?usp=sharing"",""บุรีรัมย์!L177"")+IMPORTRANGE(""https://docs.google.com/spreadsheets/d/1l6IZ8xUPgMrESzc"&amp;"TYwhA1k_tPjeQjJPTqlm8Gd9eU5g/edit?usp=sharing"",""มหาสารคาม!L177"")+IMPORTRANGE(""https://docs.google.com/spreadsheets/d/1uB74YLqNjWX6FObjekfB2NtSYigTQyR2rq9u4Ub2Sq4/edit?usp=sharing"",""มุกดาหาร!L177"")+IMPORTRANGE(""https://docs.google.com/spreadsheets/"&amp;"d/1NexK3geCPxCTO1fzNF8dPec7yZyUx3OaWkFBC9HsQOo/edit?usp=sharing"",""ยโสธร!L177"")+IMPORTRANGE(""https://docs.google.com/spreadsheets/d/1v_cJrbBlyqmnHPReHk44g9NrMRdENNlSy_E_c5M9fIg/edit?usp=sharing"",""ร้อยเอ็ด!L177"")+IMPORTRANGE(""https://docs.google.com"&amp;"/spreadsheets/d/1Ul4RCpCX66NxYADU1QpwAPjOmBzW64SsT11s1wzXw_c/edit?usp=sharing"",""เลย!L177"")+IMPORTRANGE(""https://docs.google.com/spreadsheets/d/1bRrNKwbHDVktQG10isr5vbWRtt5spIZPpkOSWgbT5ug/edit?usp=sharing"",""ศรีสะเกษ!L177"")+IMPORTRANGE(""https://doc"&amp;"s.google.com/spreadsheets/d/17P34_Ow5kFBfdQD0qspb2UuPX5zpi6WMrQzslghyvrI/edit?usp=sharing"",""สกลนคร!L177"")+IMPORTRANGE(""https://docs.google.com/spreadsheets/d/1yswqbM3-AEpThF3ZSUa1AcmHnmRTF1vlJ1CZGcJ8YuU/edit?usp=sharing"",""สุรินทร์!L177"")+IMPORTRANG"&amp;"E(""https://docs.google.com/spreadsheets/d/13JHU_EFbsQOUQ0JSQ3dWy1VTRosIWcDq6Nc99z2qzdc/edit?usp=sharing"",""หนองคาย!L177"")+IMPORTRANGE(""https://docs.google.com/spreadsheets/d/1Hx73zIEgVdDZZaYSTc46Dqv64atFhpr3GelxLbaIN8A/edit?usp=sharing"",""หนองบัวลำภู"&amp;"!L177"")+IMPORTRANGE(""https://docs.google.com/spreadsheets/d/1lFxr3ctmjFN90yc-xV6jrQ9Ty8BKYVBWnAZ15wcNIJc/edit?usp=sharing"",""อำนาจเจริญ!L177"")+IMPORTRANGE(""https://docs.google.com/spreadsheets/d/1gF7RJpRnL-1oyjyeWxs5SFWEH7y8ahOZsQlyp2A2e-A/edit?usp=s"&amp;"haring"",""อุดรธานี!L177"")+IMPORTRANGE(""https://docs.google.com/spreadsheets/d/1kfLP0j3INXRa8bTDpcEmoWewMBV61jlFlfzczfjWIgc/edit?usp=sharing"",""อุบลราชธานี!L177"")"),0)</f>
        <v>0</v>
      </c>
      <c r="M177" s="59">
        <f ca="1">IFERROR(__xludf.DUMMYFUNCTION("IMPORTRANGE(""https://docs.google.com/spreadsheets/d/1yhBcrRPreicbMKl9Bu_Snb2-OcQAF62RKfhTLhJ2eAA/edit?usp=sharing"",""กาฬสินธุ์!M177"")+IMPORTRANGE(""https://docs.google.com/spreadsheets/d/1aHkj4IaQMThhwWwevcOymEh837vdxeC_PycurhTbGFA/edit?usp=sharing"","&amp;"""ขอนแก่น!M177"")+IMPORTRANGE(""https://docs.google.com/spreadsheets/d/1FvTu2DsIWUjP6WCWra38Bkj_oOl_sOMf14r5Fg5srxU/edit?usp=sharing"",""ชัยภูมิ!M177"")+IMPORTRANGE(""https://docs.google.com/spreadsheets/d/1XVB7oCJ3pr-vBUdflwPQ8Z2LlzhnCvZaaYjAfP-647E/edit"&amp;"?usp=sharing"",""นครพนม!M177"")+IMPORTRANGE(""https://docs.google.com/spreadsheets/d/1Mnpb-8PYAgn85W6KOTD40hc_Xc55CaLfHoGAbrZ8tls/edit?usp=sharing"",""นครราชสีมา!M177"")+IMPORTRANGE(""https://docs.google.com/spreadsheets/d/1xoDLGBv9CYbyosIhki0kTq6IpYNj-gp"&amp;"jxfobnaDiut0/edit?usp=sharing"",""บึงกาฬ!M177"")+IMPORTRANGE(""https://docs.google.com/spreadsheets/d/1MMPq-JyI6DSgQETxuSiXkesP-P7JHuemnE6QJIa-Nlw/edit?usp=sharing"",""บุรีรัมย์!M177"")+IMPORTRANGE(""https://docs.google.com/spreadsheets/d/1l6IZ8xUPgMrESzc"&amp;"TYwhA1k_tPjeQjJPTqlm8Gd9eU5g/edit?usp=sharing"",""มหาสารคาม!M177"")+IMPORTRANGE(""https://docs.google.com/spreadsheets/d/1uB74YLqNjWX6FObjekfB2NtSYigTQyR2rq9u4Ub2Sq4/edit?usp=sharing"",""มุกดาหาร!M177"")+IMPORTRANGE(""https://docs.google.com/spreadsheets/"&amp;"d/1NexK3geCPxCTO1fzNF8dPec7yZyUx3OaWkFBC9HsQOo/edit?usp=sharing"",""ยโสธร!M177"")+IMPORTRANGE(""https://docs.google.com/spreadsheets/d/1v_cJrbBlyqmnHPReHk44g9NrMRdENNlSy_E_c5M9fIg/edit?usp=sharing"",""ร้อยเอ็ด!M177"")+IMPORTRANGE(""https://docs.google.com"&amp;"/spreadsheets/d/1Ul4RCpCX66NxYADU1QpwAPjOmBzW64SsT11s1wzXw_c/edit?usp=sharing"",""เลย!M177"")+IMPORTRANGE(""https://docs.google.com/spreadsheets/d/1bRrNKwbHDVktQG10isr5vbWRtt5spIZPpkOSWgbT5ug/edit?usp=sharing"",""ศรีสะเกษ!M177"")+IMPORTRANGE(""https://doc"&amp;"s.google.com/spreadsheets/d/17P34_Ow5kFBfdQD0qspb2UuPX5zpi6WMrQzslghyvrI/edit?usp=sharing"",""สกลนคร!M177"")+IMPORTRANGE(""https://docs.google.com/spreadsheets/d/1yswqbM3-AEpThF3ZSUa1AcmHnmRTF1vlJ1CZGcJ8YuU/edit?usp=sharing"",""สุรินทร์!M177"")+IMPORTRANG"&amp;"E(""https://docs.google.com/spreadsheets/d/13JHU_EFbsQOUQ0JSQ3dWy1VTRosIWcDq6Nc99z2qzdc/edit?usp=sharing"",""หนองคาย!M177"")+IMPORTRANGE(""https://docs.google.com/spreadsheets/d/1Hx73zIEgVdDZZaYSTc46Dqv64atFhpr3GelxLbaIN8A/edit?usp=sharing"",""หนองบัวลำภู"&amp;"!M177"")+IMPORTRANGE(""https://docs.google.com/spreadsheets/d/1lFxr3ctmjFN90yc-xV6jrQ9Ty8BKYVBWnAZ15wcNIJc/edit?usp=sharing"",""อำนาจเจริญ!M177"")+IMPORTRANGE(""https://docs.google.com/spreadsheets/d/1gF7RJpRnL-1oyjyeWxs5SFWEH7y8ahOZsQlyp2A2e-A/edit?usp=s"&amp;"haring"",""อุดรธานี!M177"")+IMPORTRANGE(""https://docs.google.com/spreadsheets/d/1kfLP0j3INXRa8bTDpcEmoWewMBV61jlFlfzczfjWIgc/edit?usp=sharing"",""อุบลราชธานี!M177"")"),0)</f>
        <v>0</v>
      </c>
      <c r="N177" s="59">
        <f ca="1">IFERROR(__xludf.DUMMYFUNCTION("IMPORTRANGE(""https://docs.google.com/spreadsheets/d/1yhBcrRPreicbMKl9Bu_Snb2-OcQAF62RKfhTLhJ2eAA/edit?usp=sharing"",""กาฬสินธุ์!N177"")+IMPORTRANGE(""https://docs.google.com/spreadsheets/d/1aHkj4IaQMThhwWwevcOymEh837vdxeC_PycurhTbGFA/edit?usp=sharing"","&amp;"""ขอนแก่น!N177"")+IMPORTRANGE(""https://docs.google.com/spreadsheets/d/1FvTu2DsIWUjP6WCWra38Bkj_oOl_sOMf14r5Fg5srxU/edit?usp=sharing"",""ชัยภูมิ!N177"")+IMPORTRANGE(""https://docs.google.com/spreadsheets/d/1XVB7oCJ3pr-vBUdflwPQ8Z2LlzhnCvZaaYjAfP-647E/edit"&amp;"?usp=sharing"",""นครพนม!N177"")+IMPORTRANGE(""https://docs.google.com/spreadsheets/d/1Mnpb-8PYAgn85W6KOTD40hc_Xc55CaLfHoGAbrZ8tls/edit?usp=sharing"",""นครราชสีมา!N177"")+IMPORTRANGE(""https://docs.google.com/spreadsheets/d/1xoDLGBv9CYbyosIhki0kTq6IpYNj-gp"&amp;"jxfobnaDiut0/edit?usp=sharing"",""บึงกาฬ!N177"")+IMPORTRANGE(""https://docs.google.com/spreadsheets/d/1MMPq-JyI6DSgQETxuSiXkesP-P7JHuemnE6QJIa-Nlw/edit?usp=sharing"",""บุรีรัมย์!N177"")+IMPORTRANGE(""https://docs.google.com/spreadsheets/d/1l6IZ8xUPgMrESzc"&amp;"TYwhA1k_tPjeQjJPTqlm8Gd9eU5g/edit?usp=sharing"",""มหาสารคาม!N177"")+IMPORTRANGE(""https://docs.google.com/spreadsheets/d/1uB74YLqNjWX6FObjekfB2NtSYigTQyR2rq9u4Ub2Sq4/edit?usp=sharing"",""มุกดาหาร!N177"")+IMPORTRANGE(""https://docs.google.com/spreadsheets/"&amp;"d/1NexK3geCPxCTO1fzNF8dPec7yZyUx3OaWkFBC9HsQOo/edit?usp=sharing"",""ยโสธร!N177"")+IMPORTRANGE(""https://docs.google.com/spreadsheets/d/1v_cJrbBlyqmnHPReHk44g9NrMRdENNlSy_E_c5M9fIg/edit?usp=sharing"",""ร้อยเอ็ด!N177"")+IMPORTRANGE(""https://docs.google.com"&amp;"/spreadsheets/d/1Ul4RCpCX66NxYADU1QpwAPjOmBzW64SsT11s1wzXw_c/edit?usp=sharing"",""เลย!N177"")+IMPORTRANGE(""https://docs.google.com/spreadsheets/d/1bRrNKwbHDVktQG10isr5vbWRtt5spIZPpkOSWgbT5ug/edit?usp=sharing"",""ศรีสะเกษ!N177"")+IMPORTRANGE(""https://doc"&amp;"s.google.com/spreadsheets/d/17P34_Ow5kFBfdQD0qspb2UuPX5zpi6WMrQzslghyvrI/edit?usp=sharing"",""สกลนคร!N177"")+IMPORTRANGE(""https://docs.google.com/spreadsheets/d/1yswqbM3-AEpThF3ZSUa1AcmHnmRTF1vlJ1CZGcJ8YuU/edit?usp=sharing"",""สุรินทร์!N177"")+IMPORTRANG"&amp;"E(""https://docs.google.com/spreadsheets/d/13JHU_EFbsQOUQ0JSQ3dWy1VTRosIWcDq6Nc99z2qzdc/edit?usp=sharing"",""หนองคาย!N177"")+IMPORTRANGE(""https://docs.google.com/spreadsheets/d/1Hx73zIEgVdDZZaYSTc46Dqv64atFhpr3GelxLbaIN8A/edit?usp=sharing"",""หนองบัวลำภู"&amp;"!N177"")+IMPORTRANGE(""https://docs.google.com/spreadsheets/d/1lFxr3ctmjFN90yc-xV6jrQ9Ty8BKYVBWnAZ15wcNIJc/edit?usp=sharing"",""อำนาจเจริญ!N177"")+IMPORTRANGE(""https://docs.google.com/spreadsheets/d/1gF7RJpRnL-1oyjyeWxs5SFWEH7y8ahOZsQlyp2A2e-A/edit?usp=s"&amp;"haring"",""อุดรธานี!N177"")+IMPORTRANGE(""https://docs.google.com/spreadsheets/d/1kfLP0j3INXRa8bTDpcEmoWewMBV61jlFlfzczfjWIgc/edit?usp=sharing"",""อุบลราชธานี!N177"")"),0)</f>
        <v>0</v>
      </c>
      <c r="O177" s="59">
        <f t="shared" ca="1" si="84"/>
        <v>0</v>
      </c>
      <c r="P177" s="59">
        <f t="shared" ca="1" si="85"/>
        <v>0</v>
      </c>
    </row>
    <row r="178" spans="1:16" ht="18.75" x14ac:dyDescent="0.25">
      <c r="A178" s="157"/>
      <c r="B178" s="53"/>
      <c r="C178" s="53"/>
      <c r="D178" s="53"/>
      <c r="E178" s="60" t="s">
        <v>35</v>
      </c>
      <c r="F178" s="53"/>
      <c r="G178" s="55"/>
      <c r="H178" s="163" t="s">
        <v>12</v>
      </c>
      <c r="I178" s="164"/>
      <c r="J178" s="164"/>
      <c r="K178" s="165"/>
      <c r="L178" s="59">
        <f ca="1">IFERROR(__xludf.DUMMYFUNCTION("IMPORTRANGE(""https://docs.google.com/spreadsheets/d/1yhBcrRPreicbMKl9Bu_Snb2-OcQAF62RKfhTLhJ2eAA/edit?usp=sharing"",""กาฬสินธุ์!L178"")+IMPORTRANGE(""https://docs.google.com/spreadsheets/d/1aHkj4IaQMThhwWwevcOymEh837vdxeC_PycurhTbGFA/edit?usp=sharing"","&amp;"""ขอนแก่น!L178"")+IMPORTRANGE(""https://docs.google.com/spreadsheets/d/1FvTu2DsIWUjP6WCWra38Bkj_oOl_sOMf14r5Fg5srxU/edit?usp=sharing"",""ชัยภูมิ!L178"")+IMPORTRANGE(""https://docs.google.com/spreadsheets/d/1XVB7oCJ3pr-vBUdflwPQ8Z2LlzhnCvZaaYjAfP-647E/edit"&amp;"?usp=sharing"",""นครพนม!L178"")+IMPORTRANGE(""https://docs.google.com/spreadsheets/d/1Mnpb-8PYAgn85W6KOTD40hc_Xc55CaLfHoGAbrZ8tls/edit?usp=sharing"",""นครราชสีมา!L178"")+IMPORTRANGE(""https://docs.google.com/spreadsheets/d/1xoDLGBv9CYbyosIhki0kTq6IpYNj-gp"&amp;"jxfobnaDiut0/edit?usp=sharing"",""บึงกาฬ!L178"")+IMPORTRANGE(""https://docs.google.com/spreadsheets/d/1MMPq-JyI6DSgQETxuSiXkesP-P7JHuemnE6QJIa-Nlw/edit?usp=sharing"",""บุรีรัมย์!L178"")+IMPORTRANGE(""https://docs.google.com/spreadsheets/d/1l6IZ8xUPgMrESzc"&amp;"TYwhA1k_tPjeQjJPTqlm8Gd9eU5g/edit?usp=sharing"",""มหาสารคาม!L178"")+IMPORTRANGE(""https://docs.google.com/spreadsheets/d/1uB74YLqNjWX6FObjekfB2NtSYigTQyR2rq9u4Ub2Sq4/edit?usp=sharing"",""มุกดาหาร!L178"")+IMPORTRANGE(""https://docs.google.com/spreadsheets/"&amp;"d/1NexK3geCPxCTO1fzNF8dPec7yZyUx3OaWkFBC9HsQOo/edit?usp=sharing"",""ยโสธร!L178"")+IMPORTRANGE(""https://docs.google.com/spreadsheets/d/1v_cJrbBlyqmnHPReHk44g9NrMRdENNlSy_E_c5M9fIg/edit?usp=sharing"",""ร้อยเอ็ด!L178"")+IMPORTRANGE(""https://docs.google.com"&amp;"/spreadsheets/d/1Ul4RCpCX66NxYADU1QpwAPjOmBzW64SsT11s1wzXw_c/edit?usp=sharing"",""เลย!L178"")+IMPORTRANGE(""https://docs.google.com/spreadsheets/d/1bRrNKwbHDVktQG10isr5vbWRtt5spIZPpkOSWgbT5ug/edit?usp=sharing"",""ศรีสะเกษ!L178"")+IMPORTRANGE(""https://doc"&amp;"s.google.com/spreadsheets/d/17P34_Ow5kFBfdQD0qspb2UuPX5zpi6WMrQzslghyvrI/edit?usp=sharing"",""สกลนคร!L178"")+IMPORTRANGE(""https://docs.google.com/spreadsheets/d/1yswqbM3-AEpThF3ZSUa1AcmHnmRTF1vlJ1CZGcJ8YuU/edit?usp=sharing"",""สุรินทร์!L178"")+IMPORTRANG"&amp;"E(""https://docs.google.com/spreadsheets/d/13JHU_EFbsQOUQ0JSQ3dWy1VTRosIWcDq6Nc99z2qzdc/edit?usp=sharing"",""หนองคาย!L178"")+IMPORTRANGE(""https://docs.google.com/spreadsheets/d/1Hx73zIEgVdDZZaYSTc46Dqv64atFhpr3GelxLbaIN8A/edit?usp=sharing"",""หนองบัวลำภู"&amp;"!L178"")+IMPORTRANGE(""https://docs.google.com/spreadsheets/d/1lFxr3ctmjFN90yc-xV6jrQ9Ty8BKYVBWnAZ15wcNIJc/edit?usp=sharing"",""อำนาจเจริญ!L178"")+IMPORTRANGE(""https://docs.google.com/spreadsheets/d/1gF7RJpRnL-1oyjyeWxs5SFWEH7y8ahOZsQlyp2A2e-A/edit?usp=s"&amp;"haring"",""อุดรธานี!L178"")+IMPORTRANGE(""https://docs.google.com/spreadsheets/d/1kfLP0j3INXRa8bTDpcEmoWewMBV61jlFlfzczfjWIgc/edit?usp=sharing"",""อุบลราชธานี!L178"")"),393170)</f>
        <v>393170</v>
      </c>
      <c r="M178" s="59">
        <f ca="1">IFERROR(__xludf.DUMMYFUNCTION("IMPORTRANGE(""https://docs.google.com/spreadsheets/d/1yhBcrRPreicbMKl9Bu_Snb2-OcQAF62RKfhTLhJ2eAA/edit?usp=sharing"",""กาฬสินธุ์!M178"")+IMPORTRANGE(""https://docs.google.com/spreadsheets/d/1aHkj4IaQMThhwWwevcOymEh837vdxeC_PycurhTbGFA/edit?usp=sharing"","&amp;"""ขอนแก่น!M178"")+IMPORTRANGE(""https://docs.google.com/spreadsheets/d/1FvTu2DsIWUjP6WCWra38Bkj_oOl_sOMf14r5Fg5srxU/edit?usp=sharing"",""ชัยภูมิ!M178"")+IMPORTRANGE(""https://docs.google.com/spreadsheets/d/1XVB7oCJ3pr-vBUdflwPQ8Z2LlzhnCvZaaYjAfP-647E/edit"&amp;"?usp=sharing"",""นครพนม!M178"")+IMPORTRANGE(""https://docs.google.com/spreadsheets/d/1Mnpb-8PYAgn85W6KOTD40hc_Xc55CaLfHoGAbrZ8tls/edit?usp=sharing"",""นครราชสีมา!M178"")+IMPORTRANGE(""https://docs.google.com/spreadsheets/d/1xoDLGBv9CYbyosIhki0kTq6IpYNj-gp"&amp;"jxfobnaDiut0/edit?usp=sharing"",""บึงกาฬ!M178"")+IMPORTRANGE(""https://docs.google.com/spreadsheets/d/1MMPq-JyI6DSgQETxuSiXkesP-P7JHuemnE6QJIa-Nlw/edit?usp=sharing"",""บุรีรัมย์!M178"")+IMPORTRANGE(""https://docs.google.com/spreadsheets/d/1l6IZ8xUPgMrESzc"&amp;"TYwhA1k_tPjeQjJPTqlm8Gd9eU5g/edit?usp=sharing"",""มหาสารคาม!M178"")+IMPORTRANGE(""https://docs.google.com/spreadsheets/d/1uB74YLqNjWX6FObjekfB2NtSYigTQyR2rq9u4Ub2Sq4/edit?usp=sharing"",""มุกดาหาร!M178"")+IMPORTRANGE(""https://docs.google.com/spreadsheets/"&amp;"d/1NexK3geCPxCTO1fzNF8dPec7yZyUx3OaWkFBC9HsQOo/edit?usp=sharing"",""ยโสธร!M178"")+IMPORTRANGE(""https://docs.google.com/spreadsheets/d/1v_cJrbBlyqmnHPReHk44g9NrMRdENNlSy_E_c5M9fIg/edit?usp=sharing"",""ร้อยเอ็ด!M178"")+IMPORTRANGE(""https://docs.google.com"&amp;"/spreadsheets/d/1Ul4RCpCX66NxYADU1QpwAPjOmBzW64SsT11s1wzXw_c/edit?usp=sharing"",""เลย!M178"")+IMPORTRANGE(""https://docs.google.com/spreadsheets/d/1bRrNKwbHDVktQG10isr5vbWRtt5spIZPpkOSWgbT5ug/edit?usp=sharing"",""ศรีสะเกษ!M178"")+IMPORTRANGE(""https://doc"&amp;"s.google.com/spreadsheets/d/17P34_Ow5kFBfdQD0qspb2UuPX5zpi6WMrQzslghyvrI/edit?usp=sharing"",""สกลนคร!M178"")+IMPORTRANGE(""https://docs.google.com/spreadsheets/d/1yswqbM3-AEpThF3ZSUa1AcmHnmRTF1vlJ1CZGcJ8YuU/edit?usp=sharing"",""สุรินทร์!M178"")+IMPORTRANG"&amp;"E(""https://docs.google.com/spreadsheets/d/13JHU_EFbsQOUQ0JSQ3dWy1VTRosIWcDq6Nc99z2qzdc/edit?usp=sharing"",""หนองคาย!M178"")+IMPORTRANGE(""https://docs.google.com/spreadsheets/d/1Hx73zIEgVdDZZaYSTc46Dqv64atFhpr3GelxLbaIN8A/edit?usp=sharing"",""หนองบัวลำภู"&amp;"!M178"")+IMPORTRANGE(""https://docs.google.com/spreadsheets/d/1lFxr3ctmjFN90yc-xV6jrQ9Ty8BKYVBWnAZ15wcNIJc/edit?usp=sharing"",""อำนาจเจริญ!M178"")+IMPORTRANGE(""https://docs.google.com/spreadsheets/d/1gF7RJpRnL-1oyjyeWxs5SFWEH7y8ahOZsQlyp2A2e-A/edit?usp=s"&amp;"haring"",""อุดรธานี!M178"")+IMPORTRANGE(""https://docs.google.com/spreadsheets/d/1kfLP0j3INXRa8bTDpcEmoWewMBV61jlFlfzczfjWIgc/edit?usp=sharing"",""อุบลราชธานี!M178"")"),393170)</f>
        <v>393170</v>
      </c>
      <c r="N178" s="59">
        <f ca="1">IFERROR(__xludf.DUMMYFUNCTION("IMPORTRANGE(""https://docs.google.com/spreadsheets/d/1yhBcrRPreicbMKl9Bu_Snb2-OcQAF62RKfhTLhJ2eAA/edit?usp=sharing"",""กาฬสินธุ์!N178"")+IMPORTRANGE(""https://docs.google.com/spreadsheets/d/1aHkj4IaQMThhwWwevcOymEh837vdxeC_PycurhTbGFA/edit?usp=sharing"","&amp;"""ขอนแก่น!N178"")+IMPORTRANGE(""https://docs.google.com/spreadsheets/d/1FvTu2DsIWUjP6WCWra38Bkj_oOl_sOMf14r5Fg5srxU/edit?usp=sharing"",""ชัยภูมิ!N178"")+IMPORTRANGE(""https://docs.google.com/spreadsheets/d/1XVB7oCJ3pr-vBUdflwPQ8Z2LlzhnCvZaaYjAfP-647E/edit"&amp;"?usp=sharing"",""นครพนม!N178"")+IMPORTRANGE(""https://docs.google.com/spreadsheets/d/1Mnpb-8PYAgn85W6KOTD40hc_Xc55CaLfHoGAbrZ8tls/edit?usp=sharing"",""นครราชสีมา!N178"")+IMPORTRANGE(""https://docs.google.com/spreadsheets/d/1xoDLGBv9CYbyosIhki0kTq6IpYNj-gp"&amp;"jxfobnaDiut0/edit?usp=sharing"",""บึงกาฬ!N178"")+IMPORTRANGE(""https://docs.google.com/spreadsheets/d/1MMPq-JyI6DSgQETxuSiXkesP-P7JHuemnE6QJIa-Nlw/edit?usp=sharing"",""บุรีรัมย์!N178"")+IMPORTRANGE(""https://docs.google.com/spreadsheets/d/1l6IZ8xUPgMrESzc"&amp;"TYwhA1k_tPjeQjJPTqlm8Gd9eU5g/edit?usp=sharing"",""มหาสารคาม!N178"")+IMPORTRANGE(""https://docs.google.com/spreadsheets/d/1uB74YLqNjWX6FObjekfB2NtSYigTQyR2rq9u4Ub2Sq4/edit?usp=sharing"",""มุกดาหาร!N178"")+IMPORTRANGE(""https://docs.google.com/spreadsheets/"&amp;"d/1NexK3geCPxCTO1fzNF8dPec7yZyUx3OaWkFBC9HsQOo/edit?usp=sharing"",""ยโสธร!N178"")+IMPORTRANGE(""https://docs.google.com/spreadsheets/d/1v_cJrbBlyqmnHPReHk44g9NrMRdENNlSy_E_c5M9fIg/edit?usp=sharing"",""ร้อยเอ็ด!N178"")+IMPORTRANGE(""https://docs.google.com"&amp;"/spreadsheets/d/1Ul4RCpCX66NxYADU1QpwAPjOmBzW64SsT11s1wzXw_c/edit?usp=sharing"",""เลย!N178"")+IMPORTRANGE(""https://docs.google.com/spreadsheets/d/1bRrNKwbHDVktQG10isr5vbWRtt5spIZPpkOSWgbT5ug/edit?usp=sharing"",""ศรีสะเกษ!N178"")+IMPORTRANGE(""https://doc"&amp;"s.google.com/spreadsheets/d/17P34_Ow5kFBfdQD0qspb2UuPX5zpi6WMrQzslghyvrI/edit?usp=sharing"",""สกลนคร!N178"")+IMPORTRANGE(""https://docs.google.com/spreadsheets/d/1yswqbM3-AEpThF3ZSUa1AcmHnmRTF1vlJ1CZGcJ8YuU/edit?usp=sharing"",""สุรินทร์!N178"")+IMPORTRANG"&amp;"E(""https://docs.google.com/spreadsheets/d/13JHU_EFbsQOUQ0JSQ3dWy1VTRosIWcDq6Nc99z2qzdc/edit?usp=sharing"",""หนองคาย!N178"")+IMPORTRANGE(""https://docs.google.com/spreadsheets/d/1Hx73zIEgVdDZZaYSTc46Dqv64atFhpr3GelxLbaIN8A/edit?usp=sharing"",""หนองบัวลำภู"&amp;"!N178"")+IMPORTRANGE(""https://docs.google.com/spreadsheets/d/1lFxr3ctmjFN90yc-xV6jrQ9Ty8BKYVBWnAZ15wcNIJc/edit?usp=sharing"",""อำนาจเจริญ!N178"")+IMPORTRANGE(""https://docs.google.com/spreadsheets/d/1gF7RJpRnL-1oyjyeWxs5SFWEH7y8ahOZsQlyp2A2e-A/edit?usp=s"&amp;"haring"",""อุดรธานี!N178"")+IMPORTRANGE(""https://docs.google.com/spreadsheets/d/1kfLP0j3INXRa8bTDpcEmoWewMBV61jlFlfzczfjWIgc/edit?usp=sharing"",""อุบลราชธานี!N178"")"),171120)</f>
        <v>171120</v>
      </c>
      <c r="O178" s="59">
        <f t="shared" ca="1" si="84"/>
        <v>43.523157921509778</v>
      </c>
      <c r="P178" s="59">
        <f t="shared" ca="1" si="85"/>
        <v>43.523157921509778</v>
      </c>
    </row>
    <row r="179" spans="1:16" ht="18.75" x14ac:dyDescent="0.25">
      <c r="A179" s="157"/>
      <c r="B179" s="53"/>
      <c r="C179" s="53"/>
      <c r="D179" s="54" t="s">
        <v>21</v>
      </c>
      <c r="E179" s="53"/>
      <c r="F179" s="53"/>
      <c r="G179" s="55"/>
      <c r="H179" s="166" t="s">
        <v>12</v>
      </c>
      <c r="I179" s="164"/>
      <c r="J179" s="164"/>
      <c r="K179" s="165"/>
      <c r="L179" s="59">
        <f t="shared" ref="L179:N179" ca="1" si="89">L180+L181</f>
        <v>0</v>
      </c>
      <c r="M179" s="59">
        <f t="shared" ca="1" si="89"/>
        <v>0</v>
      </c>
      <c r="N179" s="59">
        <f t="shared" ca="1" si="89"/>
        <v>0</v>
      </c>
      <c r="O179" s="59">
        <f t="shared" ca="1" si="84"/>
        <v>0</v>
      </c>
      <c r="P179" s="59">
        <f t="shared" ca="1" si="85"/>
        <v>0</v>
      </c>
    </row>
    <row r="180" spans="1:16" ht="18.75" x14ac:dyDescent="0.25">
      <c r="A180" s="157"/>
      <c r="B180" s="53"/>
      <c r="C180" s="53"/>
      <c r="D180" s="53"/>
      <c r="E180" s="60" t="s">
        <v>18</v>
      </c>
      <c r="F180" s="53"/>
      <c r="G180" s="55"/>
      <c r="H180" s="163" t="s">
        <v>12</v>
      </c>
      <c r="I180" s="164"/>
      <c r="J180" s="164"/>
      <c r="K180" s="165"/>
      <c r="L180" s="59">
        <f ca="1">IFERROR(__xludf.DUMMYFUNCTION("IMPORTRANGE(""https://docs.google.com/spreadsheets/d/1yhBcrRPreicbMKl9Bu_Snb2-OcQAF62RKfhTLhJ2eAA/edit?usp=sharing"",""กาฬสินธุ์!L180"")+IMPORTRANGE(""https://docs.google.com/spreadsheets/d/1aHkj4IaQMThhwWwevcOymEh837vdxeC_PycurhTbGFA/edit?usp=sharing"","&amp;"""ขอนแก่น!L180"")+IMPORTRANGE(""https://docs.google.com/spreadsheets/d/1FvTu2DsIWUjP6WCWra38Bkj_oOl_sOMf14r5Fg5srxU/edit?usp=sharing"",""ชัยภูมิ!L180"")+IMPORTRANGE(""https://docs.google.com/spreadsheets/d/1XVB7oCJ3pr-vBUdflwPQ8Z2LlzhnCvZaaYjAfP-647E/edit"&amp;"?usp=sharing"",""นครพนม!L180"")+IMPORTRANGE(""https://docs.google.com/spreadsheets/d/1Mnpb-8PYAgn85W6KOTD40hc_Xc55CaLfHoGAbrZ8tls/edit?usp=sharing"",""นครราชสีมา!L180"")+IMPORTRANGE(""https://docs.google.com/spreadsheets/d/1xoDLGBv9CYbyosIhki0kTq6IpYNj-gp"&amp;"jxfobnaDiut0/edit?usp=sharing"",""บึงกาฬ!L180"")+IMPORTRANGE(""https://docs.google.com/spreadsheets/d/1MMPq-JyI6DSgQETxuSiXkesP-P7JHuemnE6QJIa-Nlw/edit?usp=sharing"",""บุรีรัมย์!L180"")+IMPORTRANGE(""https://docs.google.com/spreadsheets/d/1l6IZ8xUPgMrESzc"&amp;"TYwhA1k_tPjeQjJPTqlm8Gd9eU5g/edit?usp=sharing"",""มหาสารคาม!L180"")+IMPORTRANGE(""https://docs.google.com/spreadsheets/d/1uB74YLqNjWX6FObjekfB2NtSYigTQyR2rq9u4Ub2Sq4/edit?usp=sharing"",""มุกดาหาร!L180"")+IMPORTRANGE(""https://docs.google.com/spreadsheets/"&amp;"d/1NexK3geCPxCTO1fzNF8dPec7yZyUx3OaWkFBC9HsQOo/edit?usp=sharing"",""ยโสธร!L180"")+IMPORTRANGE(""https://docs.google.com/spreadsheets/d/1v_cJrbBlyqmnHPReHk44g9NrMRdENNlSy_E_c5M9fIg/edit?usp=sharing"",""ร้อยเอ็ด!L180"")+IMPORTRANGE(""https://docs.google.com"&amp;"/spreadsheets/d/1Ul4RCpCX66NxYADU1QpwAPjOmBzW64SsT11s1wzXw_c/edit?usp=sharing"",""เลย!L180"")+IMPORTRANGE(""https://docs.google.com/spreadsheets/d/1bRrNKwbHDVktQG10isr5vbWRtt5spIZPpkOSWgbT5ug/edit?usp=sharing"",""ศรีสะเกษ!L180"")+IMPORTRANGE(""https://doc"&amp;"s.google.com/spreadsheets/d/17P34_Ow5kFBfdQD0qspb2UuPX5zpi6WMrQzslghyvrI/edit?usp=sharing"",""สกลนคร!L180"")+IMPORTRANGE(""https://docs.google.com/spreadsheets/d/1yswqbM3-AEpThF3ZSUa1AcmHnmRTF1vlJ1CZGcJ8YuU/edit?usp=sharing"",""สุรินทร์!L180"")+IMPORTRANG"&amp;"E(""https://docs.google.com/spreadsheets/d/13JHU_EFbsQOUQ0JSQ3dWy1VTRosIWcDq6Nc99z2qzdc/edit?usp=sharing"",""หนองคาย!L180"")+IMPORTRANGE(""https://docs.google.com/spreadsheets/d/1Hx73zIEgVdDZZaYSTc46Dqv64atFhpr3GelxLbaIN8A/edit?usp=sharing"",""หนองบัวลำภู"&amp;"!L180"")+IMPORTRANGE(""https://docs.google.com/spreadsheets/d/1lFxr3ctmjFN90yc-xV6jrQ9Ty8BKYVBWnAZ15wcNIJc/edit?usp=sharing"",""อำนาจเจริญ!L180"")+IMPORTRANGE(""https://docs.google.com/spreadsheets/d/1gF7RJpRnL-1oyjyeWxs5SFWEH7y8ahOZsQlyp2A2e-A/edit?usp=s"&amp;"haring"",""อุดรธานี!L180"")+IMPORTRANGE(""https://docs.google.com/spreadsheets/d/1kfLP0j3INXRa8bTDpcEmoWewMBV61jlFlfzczfjWIgc/edit?usp=sharing"",""อุบลราชธานี!L180"")"),0)</f>
        <v>0</v>
      </c>
      <c r="M180" s="59">
        <f ca="1">IFERROR(__xludf.DUMMYFUNCTION("IMPORTRANGE(""https://docs.google.com/spreadsheets/d/1yhBcrRPreicbMKl9Bu_Snb2-OcQAF62RKfhTLhJ2eAA/edit?usp=sharing"",""กาฬสินธุ์!M180"")+IMPORTRANGE(""https://docs.google.com/spreadsheets/d/1aHkj4IaQMThhwWwevcOymEh837vdxeC_PycurhTbGFA/edit?usp=sharing"","&amp;"""ขอนแก่น!M180"")+IMPORTRANGE(""https://docs.google.com/spreadsheets/d/1FvTu2DsIWUjP6WCWra38Bkj_oOl_sOMf14r5Fg5srxU/edit?usp=sharing"",""ชัยภูมิ!M180"")+IMPORTRANGE(""https://docs.google.com/spreadsheets/d/1XVB7oCJ3pr-vBUdflwPQ8Z2LlzhnCvZaaYjAfP-647E/edit"&amp;"?usp=sharing"",""นครพนม!M180"")+IMPORTRANGE(""https://docs.google.com/spreadsheets/d/1Mnpb-8PYAgn85W6KOTD40hc_Xc55CaLfHoGAbrZ8tls/edit?usp=sharing"",""นครราชสีมา!M180"")+IMPORTRANGE(""https://docs.google.com/spreadsheets/d/1xoDLGBv9CYbyosIhki0kTq6IpYNj-gp"&amp;"jxfobnaDiut0/edit?usp=sharing"",""บึงกาฬ!M180"")+IMPORTRANGE(""https://docs.google.com/spreadsheets/d/1MMPq-JyI6DSgQETxuSiXkesP-P7JHuemnE6QJIa-Nlw/edit?usp=sharing"",""บุรีรัมย์!M180"")+IMPORTRANGE(""https://docs.google.com/spreadsheets/d/1l6IZ8xUPgMrESzc"&amp;"TYwhA1k_tPjeQjJPTqlm8Gd9eU5g/edit?usp=sharing"",""มหาสารคาม!M180"")+IMPORTRANGE(""https://docs.google.com/spreadsheets/d/1uB74YLqNjWX6FObjekfB2NtSYigTQyR2rq9u4Ub2Sq4/edit?usp=sharing"",""มุกดาหาร!M180"")+IMPORTRANGE(""https://docs.google.com/spreadsheets/"&amp;"d/1NexK3geCPxCTO1fzNF8dPec7yZyUx3OaWkFBC9HsQOo/edit?usp=sharing"",""ยโสธร!M180"")+IMPORTRANGE(""https://docs.google.com/spreadsheets/d/1v_cJrbBlyqmnHPReHk44g9NrMRdENNlSy_E_c5M9fIg/edit?usp=sharing"",""ร้อยเอ็ด!M180"")+IMPORTRANGE(""https://docs.google.com"&amp;"/spreadsheets/d/1Ul4RCpCX66NxYADU1QpwAPjOmBzW64SsT11s1wzXw_c/edit?usp=sharing"",""เลย!M180"")+IMPORTRANGE(""https://docs.google.com/spreadsheets/d/1bRrNKwbHDVktQG10isr5vbWRtt5spIZPpkOSWgbT5ug/edit?usp=sharing"",""ศรีสะเกษ!M180"")+IMPORTRANGE(""https://doc"&amp;"s.google.com/spreadsheets/d/17P34_Ow5kFBfdQD0qspb2UuPX5zpi6WMrQzslghyvrI/edit?usp=sharing"",""สกลนคร!M180"")+IMPORTRANGE(""https://docs.google.com/spreadsheets/d/1yswqbM3-AEpThF3ZSUa1AcmHnmRTF1vlJ1CZGcJ8YuU/edit?usp=sharing"",""สุรินทร์!M180"")+IMPORTRANG"&amp;"E(""https://docs.google.com/spreadsheets/d/13JHU_EFbsQOUQ0JSQ3dWy1VTRosIWcDq6Nc99z2qzdc/edit?usp=sharing"",""หนองคาย!M180"")+IMPORTRANGE(""https://docs.google.com/spreadsheets/d/1Hx73zIEgVdDZZaYSTc46Dqv64atFhpr3GelxLbaIN8A/edit?usp=sharing"",""หนองบัวลำภู"&amp;"!M180"")+IMPORTRANGE(""https://docs.google.com/spreadsheets/d/1lFxr3ctmjFN90yc-xV6jrQ9Ty8BKYVBWnAZ15wcNIJc/edit?usp=sharing"",""อำนาจเจริญ!M180"")+IMPORTRANGE(""https://docs.google.com/spreadsheets/d/1gF7RJpRnL-1oyjyeWxs5SFWEH7y8ahOZsQlyp2A2e-A/edit?usp=s"&amp;"haring"",""อุดรธานี!M180"")+IMPORTRANGE(""https://docs.google.com/spreadsheets/d/1kfLP0j3INXRa8bTDpcEmoWewMBV61jlFlfzczfjWIgc/edit?usp=sharing"",""อุบลราชธานี!M180"")"),0)</f>
        <v>0</v>
      </c>
      <c r="N180" s="59">
        <f ca="1">IFERROR(__xludf.DUMMYFUNCTION("IMPORTRANGE(""https://docs.google.com/spreadsheets/d/1yhBcrRPreicbMKl9Bu_Snb2-OcQAF62RKfhTLhJ2eAA/edit?usp=sharing"",""กาฬสินธุ์!N180"")+IMPORTRANGE(""https://docs.google.com/spreadsheets/d/1aHkj4IaQMThhwWwevcOymEh837vdxeC_PycurhTbGFA/edit?usp=sharing"","&amp;"""ขอนแก่น!N180"")+IMPORTRANGE(""https://docs.google.com/spreadsheets/d/1FvTu2DsIWUjP6WCWra38Bkj_oOl_sOMf14r5Fg5srxU/edit?usp=sharing"",""ชัยภูมิ!N180"")+IMPORTRANGE(""https://docs.google.com/spreadsheets/d/1XVB7oCJ3pr-vBUdflwPQ8Z2LlzhnCvZaaYjAfP-647E/edit"&amp;"?usp=sharing"",""นครพนม!N180"")+IMPORTRANGE(""https://docs.google.com/spreadsheets/d/1Mnpb-8PYAgn85W6KOTD40hc_Xc55CaLfHoGAbrZ8tls/edit?usp=sharing"",""นครราชสีมา!N180"")+IMPORTRANGE(""https://docs.google.com/spreadsheets/d/1xoDLGBv9CYbyosIhki0kTq6IpYNj-gp"&amp;"jxfobnaDiut0/edit?usp=sharing"",""บึงกาฬ!N180"")+IMPORTRANGE(""https://docs.google.com/spreadsheets/d/1MMPq-JyI6DSgQETxuSiXkesP-P7JHuemnE6QJIa-Nlw/edit?usp=sharing"",""บุรีรัมย์!N180"")+IMPORTRANGE(""https://docs.google.com/spreadsheets/d/1l6IZ8xUPgMrESzc"&amp;"TYwhA1k_tPjeQjJPTqlm8Gd9eU5g/edit?usp=sharing"",""มหาสารคาม!N180"")+IMPORTRANGE(""https://docs.google.com/spreadsheets/d/1uB74YLqNjWX6FObjekfB2NtSYigTQyR2rq9u4Ub2Sq4/edit?usp=sharing"",""มุกดาหาร!N180"")+IMPORTRANGE(""https://docs.google.com/spreadsheets/"&amp;"d/1NexK3geCPxCTO1fzNF8dPec7yZyUx3OaWkFBC9HsQOo/edit?usp=sharing"",""ยโสธร!N180"")+IMPORTRANGE(""https://docs.google.com/spreadsheets/d/1v_cJrbBlyqmnHPReHk44g9NrMRdENNlSy_E_c5M9fIg/edit?usp=sharing"",""ร้อยเอ็ด!N180"")+IMPORTRANGE(""https://docs.google.com"&amp;"/spreadsheets/d/1Ul4RCpCX66NxYADU1QpwAPjOmBzW64SsT11s1wzXw_c/edit?usp=sharing"",""เลย!N180"")+IMPORTRANGE(""https://docs.google.com/spreadsheets/d/1bRrNKwbHDVktQG10isr5vbWRtt5spIZPpkOSWgbT5ug/edit?usp=sharing"",""ศรีสะเกษ!N180"")+IMPORTRANGE(""https://doc"&amp;"s.google.com/spreadsheets/d/17P34_Ow5kFBfdQD0qspb2UuPX5zpi6WMrQzslghyvrI/edit?usp=sharing"",""สกลนคร!N180"")+IMPORTRANGE(""https://docs.google.com/spreadsheets/d/1yswqbM3-AEpThF3ZSUa1AcmHnmRTF1vlJ1CZGcJ8YuU/edit?usp=sharing"",""สุรินทร์!N180"")+IMPORTRANG"&amp;"E(""https://docs.google.com/spreadsheets/d/13JHU_EFbsQOUQ0JSQ3dWy1VTRosIWcDq6Nc99z2qzdc/edit?usp=sharing"",""หนองคาย!N180"")+IMPORTRANGE(""https://docs.google.com/spreadsheets/d/1Hx73zIEgVdDZZaYSTc46Dqv64atFhpr3GelxLbaIN8A/edit?usp=sharing"",""หนองบัวลำภู"&amp;"!N180"")+IMPORTRANGE(""https://docs.google.com/spreadsheets/d/1lFxr3ctmjFN90yc-xV6jrQ9Ty8BKYVBWnAZ15wcNIJc/edit?usp=sharing"",""อำนาจเจริญ!N180"")+IMPORTRANGE(""https://docs.google.com/spreadsheets/d/1gF7RJpRnL-1oyjyeWxs5SFWEH7y8ahOZsQlyp2A2e-A/edit?usp=s"&amp;"haring"",""อุดรธานี!N180"")+IMPORTRANGE(""https://docs.google.com/spreadsheets/d/1kfLP0j3INXRa8bTDpcEmoWewMBV61jlFlfzczfjWIgc/edit?usp=sharing"",""อุบลราชธานี!N180"")"),0)</f>
        <v>0</v>
      </c>
      <c r="O180" s="59">
        <f t="shared" ca="1" si="84"/>
        <v>0</v>
      </c>
      <c r="P180" s="59">
        <f t="shared" ca="1" si="85"/>
        <v>0</v>
      </c>
    </row>
    <row r="181" spans="1:16" ht="18.75" x14ac:dyDescent="0.25">
      <c r="A181" s="157"/>
      <c r="B181" s="53"/>
      <c r="C181" s="53"/>
      <c r="D181" s="53"/>
      <c r="E181" s="60" t="s">
        <v>19</v>
      </c>
      <c r="F181" s="53"/>
      <c r="G181" s="55"/>
      <c r="H181" s="166" t="s">
        <v>12</v>
      </c>
      <c r="I181" s="164"/>
      <c r="J181" s="164"/>
      <c r="K181" s="165"/>
      <c r="L181" s="59">
        <f ca="1">IFERROR(__xludf.DUMMYFUNCTION("IMPORTRANGE(""https://docs.google.com/spreadsheets/d/1yhBcrRPreicbMKl9Bu_Snb2-OcQAF62RKfhTLhJ2eAA/edit?usp=sharing"",""กาฬสินธุ์!L181"")+IMPORTRANGE(""https://docs.google.com/spreadsheets/d/1aHkj4IaQMThhwWwevcOymEh837vdxeC_PycurhTbGFA/edit?usp=sharing"","&amp;"""ขอนแก่น!L181"")+IMPORTRANGE(""https://docs.google.com/spreadsheets/d/1FvTu2DsIWUjP6WCWra38Bkj_oOl_sOMf14r5Fg5srxU/edit?usp=sharing"",""ชัยภูมิ!L181"")+IMPORTRANGE(""https://docs.google.com/spreadsheets/d/1XVB7oCJ3pr-vBUdflwPQ8Z2LlzhnCvZaaYjAfP-647E/edit"&amp;"?usp=sharing"",""นครพนม!L181"")+IMPORTRANGE(""https://docs.google.com/spreadsheets/d/1Mnpb-8PYAgn85W6KOTD40hc_Xc55CaLfHoGAbrZ8tls/edit?usp=sharing"",""นครราชสีมา!L181"")+IMPORTRANGE(""https://docs.google.com/spreadsheets/d/1xoDLGBv9CYbyosIhki0kTq6IpYNj-gp"&amp;"jxfobnaDiut0/edit?usp=sharing"",""บึงกาฬ!L181"")+IMPORTRANGE(""https://docs.google.com/spreadsheets/d/1MMPq-JyI6DSgQETxuSiXkesP-P7JHuemnE6QJIa-Nlw/edit?usp=sharing"",""บุรีรัมย์!L181"")+IMPORTRANGE(""https://docs.google.com/spreadsheets/d/1l6IZ8xUPgMrESzc"&amp;"TYwhA1k_tPjeQjJPTqlm8Gd9eU5g/edit?usp=sharing"",""มหาสารคาม!L181"")+IMPORTRANGE(""https://docs.google.com/spreadsheets/d/1uB74YLqNjWX6FObjekfB2NtSYigTQyR2rq9u4Ub2Sq4/edit?usp=sharing"",""มุกดาหาร!L181"")+IMPORTRANGE(""https://docs.google.com/spreadsheets/"&amp;"d/1NexK3geCPxCTO1fzNF8dPec7yZyUx3OaWkFBC9HsQOo/edit?usp=sharing"",""ยโสธร!L181"")+IMPORTRANGE(""https://docs.google.com/spreadsheets/d/1v_cJrbBlyqmnHPReHk44g9NrMRdENNlSy_E_c5M9fIg/edit?usp=sharing"",""ร้อยเอ็ด!L181"")+IMPORTRANGE(""https://docs.google.com"&amp;"/spreadsheets/d/1Ul4RCpCX66NxYADU1QpwAPjOmBzW64SsT11s1wzXw_c/edit?usp=sharing"",""เลย!L181"")+IMPORTRANGE(""https://docs.google.com/spreadsheets/d/1bRrNKwbHDVktQG10isr5vbWRtt5spIZPpkOSWgbT5ug/edit?usp=sharing"",""ศรีสะเกษ!L181"")+IMPORTRANGE(""https://doc"&amp;"s.google.com/spreadsheets/d/17P34_Ow5kFBfdQD0qspb2UuPX5zpi6WMrQzslghyvrI/edit?usp=sharing"",""สกลนคร!L181"")+IMPORTRANGE(""https://docs.google.com/spreadsheets/d/1yswqbM3-AEpThF3ZSUa1AcmHnmRTF1vlJ1CZGcJ8YuU/edit?usp=sharing"",""สุรินทร์!L181"")+IMPORTRANG"&amp;"E(""https://docs.google.com/spreadsheets/d/13JHU_EFbsQOUQ0JSQ3dWy1VTRosIWcDq6Nc99z2qzdc/edit?usp=sharing"",""หนองคาย!L181"")+IMPORTRANGE(""https://docs.google.com/spreadsheets/d/1Hx73zIEgVdDZZaYSTc46Dqv64atFhpr3GelxLbaIN8A/edit?usp=sharing"",""หนองบัวลำภู"&amp;"!L181"")+IMPORTRANGE(""https://docs.google.com/spreadsheets/d/1lFxr3ctmjFN90yc-xV6jrQ9Ty8BKYVBWnAZ15wcNIJc/edit?usp=sharing"",""อำนาจเจริญ!L181"")+IMPORTRANGE(""https://docs.google.com/spreadsheets/d/1gF7RJpRnL-1oyjyeWxs5SFWEH7y8ahOZsQlyp2A2e-A/edit?usp=s"&amp;"haring"",""อุดรธานี!L181"")+IMPORTRANGE(""https://docs.google.com/spreadsheets/d/1kfLP0j3INXRa8bTDpcEmoWewMBV61jlFlfzczfjWIgc/edit?usp=sharing"",""อุบลราชธานี!L181"")"),0)</f>
        <v>0</v>
      </c>
      <c r="M181" s="59">
        <f ca="1">IFERROR(__xludf.DUMMYFUNCTION("IMPORTRANGE(""https://docs.google.com/spreadsheets/d/1yhBcrRPreicbMKl9Bu_Snb2-OcQAF62RKfhTLhJ2eAA/edit?usp=sharing"",""กาฬสินธุ์!M181"")+IMPORTRANGE(""https://docs.google.com/spreadsheets/d/1aHkj4IaQMThhwWwevcOymEh837vdxeC_PycurhTbGFA/edit?usp=sharing"","&amp;"""ขอนแก่น!M181"")+IMPORTRANGE(""https://docs.google.com/spreadsheets/d/1FvTu2DsIWUjP6WCWra38Bkj_oOl_sOMf14r5Fg5srxU/edit?usp=sharing"",""ชัยภูมิ!M181"")+IMPORTRANGE(""https://docs.google.com/spreadsheets/d/1XVB7oCJ3pr-vBUdflwPQ8Z2LlzhnCvZaaYjAfP-647E/edit"&amp;"?usp=sharing"",""นครพนม!M181"")+IMPORTRANGE(""https://docs.google.com/spreadsheets/d/1Mnpb-8PYAgn85W6KOTD40hc_Xc55CaLfHoGAbrZ8tls/edit?usp=sharing"",""นครราชสีมา!M181"")+IMPORTRANGE(""https://docs.google.com/spreadsheets/d/1xoDLGBv9CYbyosIhki0kTq6IpYNj-gp"&amp;"jxfobnaDiut0/edit?usp=sharing"",""บึงกาฬ!M181"")+IMPORTRANGE(""https://docs.google.com/spreadsheets/d/1MMPq-JyI6DSgQETxuSiXkesP-P7JHuemnE6QJIa-Nlw/edit?usp=sharing"",""บุรีรัมย์!M181"")+IMPORTRANGE(""https://docs.google.com/spreadsheets/d/1l6IZ8xUPgMrESzc"&amp;"TYwhA1k_tPjeQjJPTqlm8Gd9eU5g/edit?usp=sharing"",""มหาสารคาม!M181"")+IMPORTRANGE(""https://docs.google.com/spreadsheets/d/1uB74YLqNjWX6FObjekfB2NtSYigTQyR2rq9u4Ub2Sq4/edit?usp=sharing"",""มุกดาหาร!M181"")+IMPORTRANGE(""https://docs.google.com/spreadsheets/"&amp;"d/1NexK3geCPxCTO1fzNF8dPec7yZyUx3OaWkFBC9HsQOo/edit?usp=sharing"",""ยโสธร!M181"")+IMPORTRANGE(""https://docs.google.com/spreadsheets/d/1v_cJrbBlyqmnHPReHk44g9NrMRdENNlSy_E_c5M9fIg/edit?usp=sharing"",""ร้อยเอ็ด!M181"")+IMPORTRANGE(""https://docs.google.com"&amp;"/spreadsheets/d/1Ul4RCpCX66NxYADU1QpwAPjOmBzW64SsT11s1wzXw_c/edit?usp=sharing"",""เลย!M181"")+IMPORTRANGE(""https://docs.google.com/spreadsheets/d/1bRrNKwbHDVktQG10isr5vbWRtt5spIZPpkOSWgbT5ug/edit?usp=sharing"",""ศรีสะเกษ!M181"")+IMPORTRANGE(""https://doc"&amp;"s.google.com/spreadsheets/d/17P34_Ow5kFBfdQD0qspb2UuPX5zpi6WMrQzslghyvrI/edit?usp=sharing"",""สกลนคร!M181"")+IMPORTRANGE(""https://docs.google.com/spreadsheets/d/1yswqbM3-AEpThF3ZSUa1AcmHnmRTF1vlJ1CZGcJ8YuU/edit?usp=sharing"",""สุรินทร์!M181"")+IMPORTRANG"&amp;"E(""https://docs.google.com/spreadsheets/d/13JHU_EFbsQOUQ0JSQ3dWy1VTRosIWcDq6Nc99z2qzdc/edit?usp=sharing"",""หนองคาย!M181"")+IMPORTRANGE(""https://docs.google.com/spreadsheets/d/1Hx73zIEgVdDZZaYSTc46Dqv64atFhpr3GelxLbaIN8A/edit?usp=sharing"",""หนองบัวลำภู"&amp;"!M181"")+IMPORTRANGE(""https://docs.google.com/spreadsheets/d/1lFxr3ctmjFN90yc-xV6jrQ9Ty8BKYVBWnAZ15wcNIJc/edit?usp=sharing"",""อำนาจเจริญ!M181"")+IMPORTRANGE(""https://docs.google.com/spreadsheets/d/1gF7RJpRnL-1oyjyeWxs5SFWEH7y8ahOZsQlyp2A2e-A/edit?usp=s"&amp;"haring"",""อุดรธานี!M181"")+IMPORTRANGE(""https://docs.google.com/spreadsheets/d/1kfLP0j3INXRa8bTDpcEmoWewMBV61jlFlfzczfjWIgc/edit?usp=sharing"",""อุบลราชธานี!M181"")"),0)</f>
        <v>0</v>
      </c>
      <c r="N181" s="59">
        <f ca="1">IFERROR(__xludf.DUMMYFUNCTION("IMPORTRANGE(""https://docs.google.com/spreadsheets/d/1yhBcrRPreicbMKl9Bu_Snb2-OcQAF62RKfhTLhJ2eAA/edit?usp=sharing"",""กาฬสินธุ์!N181"")+IMPORTRANGE(""https://docs.google.com/spreadsheets/d/1aHkj4IaQMThhwWwevcOymEh837vdxeC_PycurhTbGFA/edit?usp=sharing"","&amp;"""ขอนแก่น!N181"")+IMPORTRANGE(""https://docs.google.com/spreadsheets/d/1FvTu2DsIWUjP6WCWra38Bkj_oOl_sOMf14r5Fg5srxU/edit?usp=sharing"",""ชัยภูมิ!N181"")+IMPORTRANGE(""https://docs.google.com/spreadsheets/d/1XVB7oCJ3pr-vBUdflwPQ8Z2LlzhnCvZaaYjAfP-647E/edit"&amp;"?usp=sharing"",""นครพนม!N181"")+IMPORTRANGE(""https://docs.google.com/spreadsheets/d/1Mnpb-8PYAgn85W6KOTD40hc_Xc55CaLfHoGAbrZ8tls/edit?usp=sharing"",""นครราชสีมา!N181"")+IMPORTRANGE(""https://docs.google.com/spreadsheets/d/1xoDLGBv9CYbyosIhki0kTq6IpYNj-gp"&amp;"jxfobnaDiut0/edit?usp=sharing"",""บึงกาฬ!N181"")+IMPORTRANGE(""https://docs.google.com/spreadsheets/d/1MMPq-JyI6DSgQETxuSiXkesP-P7JHuemnE6QJIa-Nlw/edit?usp=sharing"",""บุรีรัมย์!N181"")+IMPORTRANGE(""https://docs.google.com/spreadsheets/d/1l6IZ8xUPgMrESzc"&amp;"TYwhA1k_tPjeQjJPTqlm8Gd9eU5g/edit?usp=sharing"",""มหาสารคาม!N181"")+IMPORTRANGE(""https://docs.google.com/spreadsheets/d/1uB74YLqNjWX6FObjekfB2NtSYigTQyR2rq9u4Ub2Sq4/edit?usp=sharing"",""มุกดาหาร!N181"")+IMPORTRANGE(""https://docs.google.com/spreadsheets/"&amp;"d/1NexK3geCPxCTO1fzNF8dPec7yZyUx3OaWkFBC9HsQOo/edit?usp=sharing"",""ยโสธร!N181"")+IMPORTRANGE(""https://docs.google.com/spreadsheets/d/1v_cJrbBlyqmnHPReHk44g9NrMRdENNlSy_E_c5M9fIg/edit?usp=sharing"",""ร้อยเอ็ด!N181"")+IMPORTRANGE(""https://docs.google.com"&amp;"/spreadsheets/d/1Ul4RCpCX66NxYADU1QpwAPjOmBzW64SsT11s1wzXw_c/edit?usp=sharing"",""เลย!N181"")+IMPORTRANGE(""https://docs.google.com/spreadsheets/d/1bRrNKwbHDVktQG10isr5vbWRtt5spIZPpkOSWgbT5ug/edit?usp=sharing"",""ศรีสะเกษ!N181"")+IMPORTRANGE(""https://doc"&amp;"s.google.com/spreadsheets/d/17P34_Ow5kFBfdQD0qspb2UuPX5zpi6WMrQzslghyvrI/edit?usp=sharing"",""สกลนคร!N181"")+IMPORTRANGE(""https://docs.google.com/spreadsheets/d/1yswqbM3-AEpThF3ZSUa1AcmHnmRTF1vlJ1CZGcJ8YuU/edit?usp=sharing"",""สุรินทร์!N181"")+IMPORTRANG"&amp;"E(""https://docs.google.com/spreadsheets/d/13JHU_EFbsQOUQ0JSQ3dWy1VTRosIWcDq6Nc99z2qzdc/edit?usp=sharing"",""หนองคาย!N181"")+IMPORTRANGE(""https://docs.google.com/spreadsheets/d/1Hx73zIEgVdDZZaYSTc46Dqv64atFhpr3GelxLbaIN8A/edit?usp=sharing"",""หนองบัวลำภู"&amp;"!N181"")+IMPORTRANGE(""https://docs.google.com/spreadsheets/d/1lFxr3ctmjFN90yc-xV6jrQ9Ty8BKYVBWnAZ15wcNIJc/edit?usp=sharing"",""อำนาจเจริญ!N181"")+IMPORTRANGE(""https://docs.google.com/spreadsheets/d/1gF7RJpRnL-1oyjyeWxs5SFWEH7y8ahOZsQlyp2A2e-A/edit?usp=s"&amp;"haring"",""อุดรธานี!N181"")+IMPORTRANGE(""https://docs.google.com/spreadsheets/d/1kfLP0j3INXRa8bTDpcEmoWewMBV61jlFlfzczfjWIgc/edit?usp=sharing"",""อุบลราชธานี!N181"")"),0)</f>
        <v>0</v>
      </c>
      <c r="O181" s="59">
        <f t="shared" ca="1" si="84"/>
        <v>0</v>
      </c>
      <c r="P181" s="59">
        <f t="shared" ca="1" si="85"/>
        <v>0</v>
      </c>
    </row>
    <row r="182" spans="1:16" ht="19.5" x14ac:dyDescent="0.3">
      <c r="A182" s="167"/>
      <c r="B182" s="168"/>
      <c r="C182" s="158" t="s">
        <v>16</v>
      </c>
      <c r="D182" s="169" t="s">
        <v>36</v>
      </c>
      <c r="E182" s="170"/>
      <c r="F182" s="170"/>
      <c r="G182" s="171"/>
      <c r="H182" s="225"/>
      <c r="I182" s="57"/>
      <c r="J182" s="57"/>
      <c r="K182" s="58"/>
      <c r="L182" s="58"/>
      <c r="M182" s="58"/>
      <c r="N182" s="58"/>
      <c r="O182" s="58"/>
      <c r="P182" s="58"/>
    </row>
    <row r="183" spans="1:16" ht="18.75" x14ac:dyDescent="0.25">
      <c r="A183" s="274"/>
      <c r="B183" s="53"/>
      <c r="C183" s="275"/>
      <c r="D183" s="276" t="s">
        <v>69</v>
      </c>
      <c r="E183" s="53"/>
      <c r="F183" s="53"/>
      <c r="G183" s="55"/>
      <c r="H183" s="277" t="s">
        <v>33</v>
      </c>
      <c r="I183" s="181">
        <f ca="1">IFERROR(__xludf.DUMMYFUNCTION("IMPORTRANGE(""https://docs.google.com/spreadsheets/d/1yhBcrRPreicbMKl9Bu_Snb2-OcQAF62RKfhTLhJ2eAA/edit?usp=sharing"",""กาฬสินธุ์!I183"")+IMPORTRANGE(""https://docs.google.com/spreadsheets/d/1aHkj4IaQMThhwWwevcOymEh837vdxeC_PycurhTbGFA/edit?usp=sharing"","&amp;"""ขอนแก่น!I183"")+IMPORTRANGE(""https://docs.google.com/spreadsheets/d/1FvTu2DsIWUjP6WCWra38Bkj_oOl_sOMf14r5Fg5srxU/edit?usp=sharing"",""ชัยภูมิ!I183"")+IMPORTRANGE(""https://docs.google.com/spreadsheets/d/1XVB7oCJ3pr-vBUdflwPQ8Z2LlzhnCvZaaYjAfP-647E/edit"&amp;"?usp=sharing"",""นครพนม!I183"")+IMPORTRANGE(""https://docs.google.com/spreadsheets/d/1Mnpb-8PYAgn85W6KOTD40hc_Xc55CaLfHoGAbrZ8tls/edit?usp=sharing"",""นครราชสีมา!I183"")+IMPORTRANGE(""https://docs.google.com/spreadsheets/d/1xoDLGBv9CYbyosIhki0kTq6IpYNj-gp"&amp;"jxfobnaDiut0/edit?usp=sharing"",""บึงกาฬ!I183"")+IMPORTRANGE(""https://docs.google.com/spreadsheets/d/1MMPq-JyI6DSgQETxuSiXkesP-P7JHuemnE6QJIa-Nlw/edit?usp=sharing"",""บุรีรัมย์!I183"")+IMPORTRANGE(""https://docs.google.com/spreadsheets/d/1l6IZ8xUPgMrESzc"&amp;"TYwhA1k_tPjeQjJPTqlm8Gd9eU5g/edit?usp=sharing"",""มหาสารคาม!I183"")+IMPORTRANGE(""https://docs.google.com/spreadsheets/d/1uB74YLqNjWX6FObjekfB2NtSYigTQyR2rq9u4Ub2Sq4/edit?usp=sharing"",""มุกดาหาร!I183"")+IMPORTRANGE(""https://docs.google.com/spreadsheets/"&amp;"d/1NexK3geCPxCTO1fzNF8dPec7yZyUx3OaWkFBC9HsQOo/edit?usp=sharing"",""ยโสธร!I183"")+IMPORTRANGE(""https://docs.google.com/spreadsheets/d/1v_cJrbBlyqmnHPReHk44g9NrMRdENNlSy_E_c5M9fIg/edit?usp=sharing"",""ร้อยเอ็ด!I183"")+IMPORTRANGE(""https://docs.google.com"&amp;"/spreadsheets/d/1Ul4RCpCX66NxYADU1QpwAPjOmBzW64SsT11s1wzXw_c/edit?usp=sharing"",""เลย!I183"")+IMPORTRANGE(""https://docs.google.com/spreadsheets/d/1bRrNKwbHDVktQG10isr5vbWRtt5spIZPpkOSWgbT5ug/edit?usp=sharing"",""ศรีสะเกษ!I183"")+IMPORTRANGE(""https://doc"&amp;"s.google.com/spreadsheets/d/17P34_Ow5kFBfdQD0qspb2UuPX5zpi6WMrQzslghyvrI/edit?usp=sharing"",""สกลนคร!I183"")+IMPORTRANGE(""https://docs.google.com/spreadsheets/d/1yswqbM3-AEpThF3ZSUa1AcmHnmRTF1vlJ1CZGcJ8YuU/edit?usp=sharing"",""สุรินทร์!I183"")+IMPORTRANG"&amp;"E(""https://docs.google.com/spreadsheets/d/13JHU_EFbsQOUQ0JSQ3dWy1VTRosIWcDq6Nc99z2qzdc/edit?usp=sharing"",""หนองคาย!I183"")+IMPORTRANGE(""https://docs.google.com/spreadsheets/d/1Hx73zIEgVdDZZaYSTc46Dqv64atFhpr3GelxLbaIN8A/edit?usp=sharing"",""หนองบัวลำภู"&amp;"!I183"")+IMPORTRANGE(""https://docs.google.com/spreadsheets/d/1lFxr3ctmjFN90yc-xV6jrQ9Ty8BKYVBWnAZ15wcNIJc/edit?usp=sharing"",""อำนาจเจริญ!I183"")+IMPORTRANGE(""https://docs.google.com/spreadsheets/d/1gF7RJpRnL-1oyjyeWxs5SFWEH7y8ahOZsQlyp2A2e-A/edit?usp=s"&amp;"haring"",""อุดรธานี!I183"")+IMPORTRANGE(""https://docs.google.com/spreadsheets/d/1kfLP0j3INXRa8bTDpcEmoWewMBV61jlFlfzczfjWIgc/edit?usp=sharing"",""อุบลราชธานี!I183"")"),141)</f>
        <v>141</v>
      </c>
      <c r="J183" s="181">
        <f ca="1">IFERROR(__xludf.DUMMYFUNCTION("IMPORTRANGE(""https://docs.google.com/spreadsheets/d/1yhBcrRPreicbMKl9Bu_Snb2-OcQAF62RKfhTLhJ2eAA/edit?usp=sharing"",""กาฬสินธุ์!J183"")+IMPORTRANGE(""https://docs.google.com/spreadsheets/d/1aHkj4IaQMThhwWwevcOymEh837vdxeC_PycurhTbGFA/edit?usp=sharing"","&amp;"""ขอนแก่น!J183"")+IMPORTRANGE(""https://docs.google.com/spreadsheets/d/1FvTu2DsIWUjP6WCWra38Bkj_oOl_sOMf14r5Fg5srxU/edit?usp=sharing"",""ชัยภูมิ!J183"")+IMPORTRANGE(""https://docs.google.com/spreadsheets/d/1XVB7oCJ3pr-vBUdflwPQ8Z2LlzhnCvZaaYjAfP-647E/edit"&amp;"?usp=sharing"",""นครพนม!J183"")+IMPORTRANGE(""https://docs.google.com/spreadsheets/d/1Mnpb-8PYAgn85W6KOTD40hc_Xc55CaLfHoGAbrZ8tls/edit?usp=sharing"",""นครราชสีมา!J183"")+IMPORTRANGE(""https://docs.google.com/spreadsheets/d/1xoDLGBv9CYbyosIhki0kTq6IpYNj-gp"&amp;"jxfobnaDiut0/edit?usp=sharing"",""บึงกาฬ!J183"")+IMPORTRANGE(""https://docs.google.com/spreadsheets/d/1MMPq-JyI6DSgQETxuSiXkesP-P7JHuemnE6QJIa-Nlw/edit?usp=sharing"",""บุรีรัมย์!J183"")+IMPORTRANGE(""https://docs.google.com/spreadsheets/d/1l6IZ8xUPgMrESzc"&amp;"TYwhA1k_tPjeQjJPTqlm8Gd9eU5g/edit?usp=sharing"",""มหาสารคาม!J183"")+IMPORTRANGE(""https://docs.google.com/spreadsheets/d/1uB74YLqNjWX6FObjekfB2NtSYigTQyR2rq9u4Ub2Sq4/edit?usp=sharing"",""มุกดาหาร!J183"")+IMPORTRANGE(""https://docs.google.com/spreadsheets/"&amp;"d/1NexK3geCPxCTO1fzNF8dPec7yZyUx3OaWkFBC9HsQOo/edit?usp=sharing"",""ยโสธร!J183"")+IMPORTRANGE(""https://docs.google.com/spreadsheets/d/1v_cJrbBlyqmnHPReHk44g9NrMRdENNlSy_E_c5M9fIg/edit?usp=sharing"",""ร้อยเอ็ด!J183"")+IMPORTRANGE(""https://docs.google.com"&amp;"/spreadsheets/d/1Ul4RCpCX66NxYADU1QpwAPjOmBzW64SsT11s1wzXw_c/edit?usp=sharing"",""เลย!J183"")+IMPORTRANGE(""https://docs.google.com/spreadsheets/d/1bRrNKwbHDVktQG10isr5vbWRtt5spIZPpkOSWgbT5ug/edit?usp=sharing"",""ศรีสะเกษ!J183"")+IMPORTRANGE(""https://doc"&amp;"s.google.com/spreadsheets/d/17P34_Ow5kFBfdQD0qspb2UuPX5zpi6WMrQzslghyvrI/edit?usp=sharing"",""สกลนคร!J183"")+IMPORTRANGE(""https://docs.google.com/spreadsheets/d/1yswqbM3-AEpThF3ZSUa1AcmHnmRTF1vlJ1CZGcJ8YuU/edit?usp=sharing"",""สุรินทร์!J183"")+IMPORTRANG"&amp;"E(""https://docs.google.com/spreadsheets/d/13JHU_EFbsQOUQ0JSQ3dWy1VTRosIWcDq6Nc99z2qzdc/edit?usp=sharing"",""หนองคาย!J183"")+IMPORTRANGE(""https://docs.google.com/spreadsheets/d/1Hx73zIEgVdDZZaYSTc46Dqv64atFhpr3GelxLbaIN8A/edit?usp=sharing"",""หนองบัวลำภู"&amp;"!J183"")+IMPORTRANGE(""https://docs.google.com/spreadsheets/d/1lFxr3ctmjFN90yc-xV6jrQ9Ty8BKYVBWnAZ15wcNIJc/edit?usp=sharing"",""อำนาจเจริญ!J183"")+IMPORTRANGE(""https://docs.google.com/spreadsheets/d/1gF7RJpRnL-1oyjyeWxs5SFWEH7y8ahOZsQlyp2A2e-A/edit?usp=s"&amp;"haring"",""อุดรธานี!J183"")+IMPORTRANGE(""https://docs.google.com/spreadsheets/d/1kfLP0j3INXRa8bTDpcEmoWewMBV61jlFlfzczfjWIgc/edit?usp=sharing"",""อุบลราชธานี!J183"")"),49)</f>
        <v>49</v>
      </c>
      <c r="K183" s="59">
        <f t="shared" ref="K183:K185" ca="1" si="90">IF(I183&gt;0,J183*100/I183,0)</f>
        <v>34.751773049645394</v>
      </c>
      <c r="L183" s="58"/>
      <c r="M183" s="58"/>
      <c r="N183" s="58"/>
      <c r="O183" s="58"/>
      <c r="P183" s="58"/>
    </row>
    <row r="184" spans="1:16" ht="18.75" x14ac:dyDescent="0.25">
      <c r="A184" s="274"/>
      <c r="B184" s="278"/>
      <c r="C184" s="275"/>
      <c r="D184" s="276" t="s">
        <v>70</v>
      </c>
      <c r="E184" s="53"/>
      <c r="F184" s="53"/>
      <c r="G184" s="55"/>
      <c r="H184" s="277" t="s">
        <v>33</v>
      </c>
      <c r="I184" s="181">
        <v>0</v>
      </c>
      <c r="J184" s="181">
        <v>0</v>
      </c>
      <c r="K184" s="59">
        <f t="shared" si="90"/>
        <v>0</v>
      </c>
      <c r="L184" s="58"/>
      <c r="M184" s="58"/>
      <c r="N184" s="58"/>
      <c r="O184" s="58"/>
      <c r="P184" s="58"/>
    </row>
    <row r="185" spans="1:16" ht="19.5" x14ac:dyDescent="0.3">
      <c r="A185" s="267"/>
      <c r="B185" s="268" t="s">
        <v>71</v>
      </c>
      <c r="C185" s="269"/>
      <c r="D185" s="170"/>
      <c r="E185" s="170"/>
      <c r="F185" s="170"/>
      <c r="G185" s="171"/>
      <c r="H185" s="270" t="s">
        <v>33</v>
      </c>
      <c r="I185" s="271">
        <f t="shared" ref="I185:J185" ca="1" si="91">I230+I231</f>
        <v>0</v>
      </c>
      <c r="J185" s="271">
        <f t="shared" ca="1" si="91"/>
        <v>0</v>
      </c>
      <c r="K185" s="272">
        <f t="shared" ca="1" si="90"/>
        <v>0</v>
      </c>
      <c r="L185" s="273"/>
      <c r="M185" s="273"/>
      <c r="N185" s="273"/>
      <c r="O185" s="273"/>
      <c r="P185" s="273"/>
    </row>
    <row r="186" spans="1:16" ht="19.5" x14ac:dyDescent="0.3">
      <c r="A186" s="157"/>
      <c r="B186" s="53"/>
      <c r="C186" s="158" t="s">
        <v>16</v>
      </c>
      <c r="D186" s="159" t="s">
        <v>17</v>
      </c>
      <c r="E186" s="53"/>
      <c r="F186" s="53"/>
      <c r="G186" s="55"/>
      <c r="H186" s="160" t="s">
        <v>12</v>
      </c>
      <c r="I186" s="57"/>
      <c r="J186" s="57"/>
      <c r="K186" s="58"/>
      <c r="L186" s="161">
        <f t="shared" ref="L186:N186" ca="1" si="92">L187+L188</f>
        <v>3091200</v>
      </c>
      <c r="M186" s="161">
        <f t="shared" ca="1" si="92"/>
        <v>2116400</v>
      </c>
      <c r="N186" s="161">
        <f t="shared" ca="1" si="92"/>
        <v>485849.96</v>
      </c>
      <c r="O186" s="161">
        <f t="shared" ref="O186:O194" ca="1" si="93">IF(L186&gt;0,N186*100/L186,0)</f>
        <v>15.717195910973086</v>
      </c>
      <c r="P186" s="161">
        <f t="shared" ref="P186:P194" ca="1" si="94">IF(M186&gt;0,N186*100/M186,0)</f>
        <v>22.956433566433567</v>
      </c>
    </row>
    <row r="187" spans="1:16" ht="18.75" x14ac:dyDescent="0.25">
      <c r="A187" s="157"/>
      <c r="B187" s="53"/>
      <c r="C187" s="53"/>
      <c r="D187" s="53"/>
      <c r="E187" s="60" t="s">
        <v>18</v>
      </c>
      <c r="F187" s="53"/>
      <c r="G187" s="55"/>
      <c r="H187" s="162" t="s">
        <v>12</v>
      </c>
      <c r="I187" s="57"/>
      <c r="J187" s="57"/>
      <c r="K187" s="58"/>
      <c r="L187" s="59">
        <f t="shared" ref="L187:N187" ca="1" si="95">L190+L193</f>
        <v>0</v>
      </c>
      <c r="M187" s="59">
        <f t="shared" ca="1" si="95"/>
        <v>0</v>
      </c>
      <c r="N187" s="59">
        <f t="shared" ca="1" si="95"/>
        <v>0</v>
      </c>
      <c r="O187" s="59">
        <f t="shared" ca="1" si="93"/>
        <v>0</v>
      </c>
      <c r="P187" s="59">
        <f t="shared" ca="1" si="94"/>
        <v>0</v>
      </c>
    </row>
    <row r="188" spans="1:16" ht="18.75" x14ac:dyDescent="0.25">
      <c r="A188" s="157"/>
      <c r="B188" s="53"/>
      <c r="C188" s="53"/>
      <c r="D188" s="53"/>
      <c r="E188" s="60" t="s">
        <v>19</v>
      </c>
      <c r="F188" s="53"/>
      <c r="G188" s="55"/>
      <c r="H188" s="162" t="s">
        <v>12</v>
      </c>
      <c r="I188" s="57"/>
      <c r="J188" s="57"/>
      <c r="K188" s="58"/>
      <c r="L188" s="59">
        <f t="shared" ref="L188:N188" ca="1" si="96">L191+L194</f>
        <v>3091200</v>
      </c>
      <c r="M188" s="59">
        <f t="shared" ca="1" si="96"/>
        <v>2116400</v>
      </c>
      <c r="N188" s="59">
        <f t="shared" ca="1" si="96"/>
        <v>485849.96</v>
      </c>
      <c r="O188" s="59">
        <f t="shared" ca="1" si="93"/>
        <v>15.717195910973086</v>
      </c>
      <c r="P188" s="59">
        <f t="shared" ca="1" si="94"/>
        <v>22.956433566433567</v>
      </c>
    </row>
    <row r="189" spans="1:16" ht="18.75" x14ac:dyDescent="0.25">
      <c r="A189" s="157"/>
      <c r="B189" s="53"/>
      <c r="C189" s="53"/>
      <c r="D189" s="54" t="s">
        <v>20</v>
      </c>
      <c r="E189" s="53"/>
      <c r="F189" s="53"/>
      <c r="G189" s="55"/>
      <c r="H189" s="163" t="s">
        <v>12</v>
      </c>
      <c r="I189" s="164"/>
      <c r="J189" s="164"/>
      <c r="K189" s="165"/>
      <c r="L189" s="59">
        <f t="shared" ref="L189:N189" ca="1" si="97">L190+L191</f>
        <v>3091200</v>
      </c>
      <c r="M189" s="59">
        <f t="shared" ca="1" si="97"/>
        <v>2116400</v>
      </c>
      <c r="N189" s="59">
        <f t="shared" ca="1" si="97"/>
        <v>485849.96</v>
      </c>
      <c r="O189" s="59">
        <f t="shared" ca="1" si="93"/>
        <v>15.717195910973086</v>
      </c>
      <c r="P189" s="59">
        <f t="shared" ca="1" si="94"/>
        <v>22.956433566433567</v>
      </c>
    </row>
    <row r="190" spans="1:16" ht="18.75" x14ac:dyDescent="0.25">
      <c r="A190" s="157"/>
      <c r="B190" s="53"/>
      <c r="C190" s="53"/>
      <c r="D190" s="53"/>
      <c r="E190" s="60" t="s">
        <v>34</v>
      </c>
      <c r="F190" s="53"/>
      <c r="G190" s="55"/>
      <c r="H190" s="163" t="s">
        <v>12</v>
      </c>
      <c r="I190" s="164"/>
      <c r="J190" s="164"/>
      <c r="K190" s="165"/>
      <c r="L190" s="59">
        <f ca="1">IFERROR(__xludf.DUMMYFUNCTION("IMPORTRANGE(""https://docs.google.com/spreadsheets/d/1yhBcrRPreicbMKl9Bu_Snb2-OcQAF62RKfhTLhJ2eAA/edit?usp=sharing"",""กาฬสินธุ์!L190"")+IMPORTRANGE(""https://docs.google.com/spreadsheets/d/1aHkj4IaQMThhwWwevcOymEh837vdxeC_PycurhTbGFA/edit?usp=sharing"","&amp;"""ขอนแก่น!L190"")+IMPORTRANGE(""https://docs.google.com/spreadsheets/d/1FvTu2DsIWUjP6WCWra38Bkj_oOl_sOMf14r5Fg5srxU/edit?usp=sharing"",""ชัยภูมิ!L190"")+IMPORTRANGE(""https://docs.google.com/spreadsheets/d/1XVB7oCJ3pr-vBUdflwPQ8Z2LlzhnCvZaaYjAfP-647E/edit"&amp;"?usp=sharing"",""นครพนม!L190"")+IMPORTRANGE(""https://docs.google.com/spreadsheets/d/1Mnpb-8PYAgn85W6KOTD40hc_Xc55CaLfHoGAbrZ8tls/edit?usp=sharing"",""นครราชสีมา!L190"")+IMPORTRANGE(""https://docs.google.com/spreadsheets/d/1xoDLGBv9CYbyosIhki0kTq6IpYNj-gp"&amp;"jxfobnaDiut0/edit?usp=sharing"",""บึงกาฬ!L190"")+IMPORTRANGE(""https://docs.google.com/spreadsheets/d/1MMPq-JyI6DSgQETxuSiXkesP-P7JHuemnE6QJIa-Nlw/edit?usp=sharing"",""บุรีรัมย์!L190"")+IMPORTRANGE(""https://docs.google.com/spreadsheets/d/1l6IZ8xUPgMrESzc"&amp;"TYwhA1k_tPjeQjJPTqlm8Gd9eU5g/edit?usp=sharing"",""มหาสารคาม!L190"")+IMPORTRANGE(""https://docs.google.com/spreadsheets/d/1uB74YLqNjWX6FObjekfB2NtSYigTQyR2rq9u4Ub2Sq4/edit?usp=sharing"",""มุกดาหาร!L190"")+IMPORTRANGE(""https://docs.google.com/spreadsheets/"&amp;"d/1NexK3geCPxCTO1fzNF8dPec7yZyUx3OaWkFBC9HsQOo/edit?usp=sharing"",""ยโสธร!L190"")+IMPORTRANGE(""https://docs.google.com/spreadsheets/d/1v_cJrbBlyqmnHPReHk44g9NrMRdENNlSy_E_c5M9fIg/edit?usp=sharing"",""ร้อยเอ็ด!L190"")+IMPORTRANGE(""https://docs.google.com"&amp;"/spreadsheets/d/1Ul4RCpCX66NxYADU1QpwAPjOmBzW64SsT11s1wzXw_c/edit?usp=sharing"",""เลย!L190"")+IMPORTRANGE(""https://docs.google.com/spreadsheets/d/1bRrNKwbHDVktQG10isr5vbWRtt5spIZPpkOSWgbT5ug/edit?usp=sharing"",""ศรีสะเกษ!L190"")+IMPORTRANGE(""https://doc"&amp;"s.google.com/spreadsheets/d/17P34_Ow5kFBfdQD0qspb2UuPX5zpi6WMrQzslghyvrI/edit?usp=sharing"",""สกลนคร!L190"")+IMPORTRANGE(""https://docs.google.com/spreadsheets/d/1yswqbM3-AEpThF3ZSUa1AcmHnmRTF1vlJ1CZGcJ8YuU/edit?usp=sharing"",""สุรินทร์!L190"")+IMPORTRANG"&amp;"E(""https://docs.google.com/spreadsheets/d/13JHU_EFbsQOUQ0JSQ3dWy1VTRosIWcDq6Nc99z2qzdc/edit?usp=sharing"",""หนองคาย!L190"")+IMPORTRANGE(""https://docs.google.com/spreadsheets/d/1Hx73zIEgVdDZZaYSTc46Dqv64atFhpr3GelxLbaIN8A/edit?usp=sharing"",""หนองบัวลำภู"&amp;"!L190"")+IMPORTRANGE(""https://docs.google.com/spreadsheets/d/1lFxr3ctmjFN90yc-xV6jrQ9Ty8BKYVBWnAZ15wcNIJc/edit?usp=sharing"",""อำนาจเจริญ!L190"")+IMPORTRANGE(""https://docs.google.com/spreadsheets/d/1gF7RJpRnL-1oyjyeWxs5SFWEH7y8ahOZsQlyp2A2e-A/edit?usp=s"&amp;"haring"",""อุดรธานี!L190"")+IMPORTRANGE(""https://docs.google.com/spreadsheets/d/1kfLP0j3INXRa8bTDpcEmoWewMBV61jlFlfzczfjWIgc/edit?usp=sharing"",""อุบลราชธานี!L190"")"),0)</f>
        <v>0</v>
      </c>
      <c r="M190" s="59">
        <f ca="1">IFERROR(__xludf.DUMMYFUNCTION("IMPORTRANGE(""https://docs.google.com/spreadsheets/d/1yhBcrRPreicbMKl9Bu_Snb2-OcQAF62RKfhTLhJ2eAA/edit?usp=sharing"",""กาฬสินธุ์!M190"")+IMPORTRANGE(""https://docs.google.com/spreadsheets/d/1aHkj4IaQMThhwWwevcOymEh837vdxeC_PycurhTbGFA/edit?usp=sharing"","&amp;"""ขอนแก่น!M190"")+IMPORTRANGE(""https://docs.google.com/spreadsheets/d/1FvTu2DsIWUjP6WCWra38Bkj_oOl_sOMf14r5Fg5srxU/edit?usp=sharing"",""ชัยภูมิ!M190"")+IMPORTRANGE(""https://docs.google.com/spreadsheets/d/1XVB7oCJ3pr-vBUdflwPQ8Z2LlzhnCvZaaYjAfP-647E/edit"&amp;"?usp=sharing"",""นครพนม!M190"")+IMPORTRANGE(""https://docs.google.com/spreadsheets/d/1Mnpb-8PYAgn85W6KOTD40hc_Xc55CaLfHoGAbrZ8tls/edit?usp=sharing"",""นครราชสีมา!M190"")+IMPORTRANGE(""https://docs.google.com/spreadsheets/d/1xoDLGBv9CYbyosIhki0kTq6IpYNj-gp"&amp;"jxfobnaDiut0/edit?usp=sharing"",""บึงกาฬ!M190"")+IMPORTRANGE(""https://docs.google.com/spreadsheets/d/1MMPq-JyI6DSgQETxuSiXkesP-P7JHuemnE6QJIa-Nlw/edit?usp=sharing"",""บุรีรัมย์!M190"")+IMPORTRANGE(""https://docs.google.com/spreadsheets/d/1l6IZ8xUPgMrESzc"&amp;"TYwhA1k_tPjeQjJPTqlm8Gd9eU5g/edit?usp=sharing"",""มหาสารคาม!M190"")+IMPORTRANGE(""https://docs.google.com/spreadsheets/d/1uB74YLqNjWX6FObjekfB2NtSYigTQyR2rq9u4Ub2Sq4/edit?usp=sharing"",""มุกดาหาร!M190"")+IMPORTRANGE(""https://docs.google.com/spreadsheets/"&amp;"d/1NexK3geCPxCTO1fzNF8dPec7yZyUx3OaWkFBC9HsQOo/edit?usp=sharing"",""ยโสธร!M190"")+IMPORTRANGE(""https://docs.google.com/spreadsheets/d/1v_cJrbBlyqmnHPReHk44g9NrMRdENNlSy_E_c5M9fIg/edit?usp=sharing"",""ร้อยเอ็ด!M190"")+IMPORTRANGE(""https://docs.google.com"&amp;"/spreadsheets/d/1Ul4RCpCX66NxYADU1QpwAPjOmBzW64SsT11s1wzXw_c/edit?usp=sharing"",""เลย!M190"")+IMPORTRANGE(""https://docs.google.com/spreadsheets/d/1bRrNKwbHDVktQG10isr5vbWRtt5spIZPpkOSWgbT5ug/edit?usp=sharing"",""ศรีสะเกษ!M190"")+IMPORTRANGE(""https://doc"&amp;"s.google.com/spreadsheets/d/17P34_Ow5kFBfdQD0qspb2UuPX5zpi6WMrQzslghyvrI/edit?usp=sharing"",""สกลนคร!M190"")+IMPORTRANGE(""https://docs.google.com/spreadsheets/d/1yswqbM3-AEpThF3ZSUa1AcmHnmRTF1vlJ1CZGcJ8YuU/edit?usp=sharing"",""สุรินทร์!M190"")+IMPORTRANG"&amp;"E(""https://docs.google.com/spreadsheets/d/13JHU_EFbsQOUQ0JSQ3dWy1VTRosIWcDq6Nc99z2qzdc/edit?usp=sharing"",""หนองคาย!M190"")+IMPORTRANGE(""https://docs.google.com/spreadsheets/d/1Hx73zIEgVdDZZaYSTc46Dqv64atFhpr3GelxLbaIN8A/edit?usp=sharing"",""หนองบัวลำภู"&amp;"!M190"")+IMPORTRANGE(""https://docs.google.com/spreadsheets/d/1lFxr3ctmjFN90yc-xV6jrQ9Ty8BKYVBWnAZ15wcNIJc/edit?usp=sharing"",""อำนาจเจริญ!M190"")+IMPORTRANGE(""https://docs.google.com/spreadsheets/d/1gF7RJpRnL-1oyjyeWxs5SFWEH7y8ahOZsQlyp2A2e-A/edit?usp=s"&amp;"haring"",""อุดรธานี!M190"")+IMPORTRANGE(""https://docs.google.com/spreadsheets/d/1kfLP0j3INXRa8bTDpcEmoWewMBV61jlFlfzczfjWIgc/edit?usp=sharing"",""อุบลราชธานี!M190"")"),0)</f>
        <v>0</v>
      </c>
      <c r="N190" s="59">
        <f ca="1">IFERROR(__xludf.DUMMYFUNCTION("IMPORTRANGE(""https://docs.google.com/spreadsheets/d/1yhBcrRPreicbMKl9Bu_Snb2-OcQAF62RKfhTLhJ2eAA/edit?usp=sharing"",""กาฬสินธุ์!N190"")+IMPORTRANGE(""https://docs.google.com/spreadsheets/d/1aHkj4IaQMThhwWwevcOymEh837vdxeC_PycurhTbGFA/edit?usp=sharing"","&amp;"""ขอนแก่น!N190"")+IMPORTRANGE(""https://docs.google.com/spreadsheets/d/1FvTu2DsIWUjP6WCWra38Bkj_oOl_sOMf14r5Fg5srxU/edit?usp=sharing"",""ชัยภูมิ!N190"")+IMPORTRANGE(""https://docs.google.com/spreadsheets/d/1XVB7oCJ3pr-vBUdflwPQ8Z2LlzhnCvZaaYjAfP-647E/edit"&amp;"?usp=sharing"",""นครพนม!N190"")+IMPORTRANGE(""https://docs.google.com/spreadsheets/d/1Mnpb-8PYAgn85W6KOTD40hc_Xc55CaLfHoGAbrZ8tls/edit?usp=sharing"",""นครราชสีมา!N190"")+IMPORTRANGE(""https://docs.google.com/spreadsheets/d/1xoDLGBv9CYbyosIhki0kTq6IpYNj-gp"&amp;"jxfobnaDiut0/edit?usp=sharing"",""บึงกาฬ!N190"")+IMPORTRANGE(""https://docs.google.com/spreadsheets/d/1MMPq-JyI6DSgQETxuSiXkesP-P7JHuemnE6QJIa-Nlw/edit?usp=sharing"",""บุรีรัมย์!N190"")+IMPORTRANGE(""https://docs.google.com/spreadsheets/d/1l6IZ8xUPgMrESzc"&amp;"TYwhA1k_tPjeQjJPTqlm8Gd9eU5g/edit?usp=sharing"",""มหาสารคาม!N190"")+IMPORTRANGE(""https://docs.google.com/spreadsheets/d/1uB74YLqNjWX6FObjekfB2NtSYigTQyR2rq9u4Ub2Sq4/edit?usp=sharing"",""มุกดาหาร!N190"")+IMPORTRANGE(""https://docs.google.com/spreadsheets/"&amp;"d/1NexK3geCPxCTO1fzNF8dPec7yZyUx3OaWkFBC9HsQOo/edit?usp=sharing"",""ยโสธร!N190"")+IMPORTRANGE(""https://docs.google.com/spreadsheets/d/1v_cJrbBlyqmnHPReHk44g9NrMRdENNlSy_E_c5M9fIg/edit?usp=sharing"",""ร้อยเอ็ด!N190"")+IMPORTRANGE(""https://docs.google.com"&amp;"/spreadsheets/d/1Ul4RCpCX66NxYADU1QpwAPjOmBzW64SsT11s1wzXw_c/edit?usp=sharing"",""เลย!N190"")+IMPORTRANGE(""https://docs.google.com/spreadsheets/d/1bRrNKwbHDVktQG10isr5vbWRtt5spIZPpkOSWgbT5ug/edit?usp=sharing"",""ศรีสะเกษ!N190"")+IMPORTRANGE(""https://doc"&amp;"s.google.com/spreadsheets/d/17P34_Ow5kFBfdQD0qspb2UuPX5zpi6WMrQzslghyvrI/edit?usp=sharing"",""สกลนคร!N190"")+IMPORTRANGE(""https://docs.google.com/spreadsheets/d/1yswqbM3-AEpThF3ZSUa1AcmHnmRTF1vlJ1CZGcJ8YuU/edit?usp=sharing"",""สุรินทร์!N190"")+IMPORTRANG"&amp;"E(""https://docs.google.com/spreadsheets/d/13JHU_EFbsQOUQ0JSQ3dWy1VTRosIWcDq6Nc99z2qzdc/edit?usp=sharing"",""หนองคาย!N190"")+IMPORTRANGE(""https://docs.google.com/spreadsheets/d/1Hx73zIEgVdDZZaYSTc46Dqv64atFhpr3GelxLbaIN8A/edit?usp=sharing"",""หนองบัวลำภู"&amp;"!N190"")+IMPORTRANGE(""https://docs.google.com/spreadsheets/d/1lFxr3ctmjFN90yc-xV6jrQ9Ty8BKYVBWnAZ15wcNIJc/edit?usp=sharing"",""อำนาจเจริญ!N190"")+IMPORTRANGE(""https://docs.google.com/spreadsheets/d/1gF7RJpRnL-1oyjyeWxs5SFWEH7y8ahOZsQlyp2A2e-A/edit?usp=s"&amp;"haring"",""อุดรธานี!N190"")+IMPORTRANGE(""https://docs.google.com/spreadsheets/d/1kfLP0j3INXRa8bTDpcEmoWewMBV61jlFlfzczfjWIgc/edit?usp=sharing"",""อุบลราชธานี!N190"")"),0)</f>
        <v>0</v>
      </c>
      <c r="O190" s="59">
        <f t="shared" ca="1" si="93"/>
        <v>0</v>
      </c>
      <c r="P190" s="59">
        <f t="shared" ca="1" si="94"/>
        <v>0</v>
      </c>
    </row>
    <row r="191" spans="1:16" ht="18.75" x14ac:dyDescent="0.25">
      <c r="A191" s="157"/>
      <c r="B191" s="53"/>
      <c r="C191" s="53"/>
      <c r="D191" s="53"/>
      <c r="E191" s="60" t="s">
        <v>35</v>
      </c>
      <c r="F191" s="53"/>
      <c r="G191" s="55"/>
      <c r="H191" s="163" t="s">
        <v>12</v>
      </c>
      <c r="I191" s="164"/>
      <c r="J191" s="164"/>
      <c r="K191" s="165"/>
      <c r="L191" s="59">
        <f ca="1">IFERROR(__xludf.DUMMYFUNCTION("IMPORTRANGE(""https://docs.google.com/spreadsheets/d/1yhBcrRPreicbMKl9Bu_Snb2-OcQAF62RKfhTLhJ2eAA/edit?usp=sharing"",""กาฬสินธุ์!L191"")+IMPORTRANGE(""https://docs.google.com/spreadsheets/d/1aHkj4IaQMThhwWwevcOymEh837vdxeC_PycurhTbGFA/edit?usp=sharing"","&amp;"""ขอนแก่น!L191"")+IMPORTRANGE(""https://docs.google.com/spreadsheets/d/1FvTu2DsIWUjP6WCWra38Bkj_oOl_sOMf14r5Fg5srxU/edit?usp=sharing"",""ชัยภูมิ!L191"")+IMPORTRANGE(""https://docs.google.com/spreadsheets/d/1XVB7oCJ3pr-vBUdflwPQ8Z2LlzhnCvZaaYjAfP-647E/edit"&amp;"?usp=sharing"",""นครพนม!L191"")+IMPORTRANGE(""https://docs.google.com/spreadsheets/d/1Mnpb-8PYAgn85W6KOTD40hc_Xc55CaLfHoGAbrZ8tls/edit?usp=sharing"",""นครราชสีมา!L191"")+IMPORTRANGE(""https://docs.google.com/spreadsheets/d/1xoDLGBv9CYbyosIhki0kTq6IpYNj-gp"&amp;"jxfobnaDiut0/edit?usp=sharing"",""บึงกาฬ!L191"")+IMPORTRANGE(""https://docs.google.com/spreadsheets/d/1MMPq-JyI6DSgQETxuSiXkesP-P7JHuemnE6QJIa-Nlw/edit?usp=sharing"",""บุรีรัมย์!L191"")+IMPORTRANGE(""https://docs.google.com/spreadsheets/d/1l6IZ8xUPgMrESzc"&amp;"TYwhA1k_tPjeQjJPTqlm8Gd9eU5g/edit?usp=sharing"",""มหาสารคาม!L191"")+IMPORTRANGE(""https://docs.google.com/spreadsheets/d/1uB74YLqNjWX6FObjekfB2NtSYigTQyR2rq9u4Ub2Sq4/edit?usp=sharing"",""มุกดาหาร!L191"")+IMPORTRANGE(""https://docs.google.com/spreadsheets/"&amp;"d/1NexK3geCPxCTO1fzNF8dPec7yZyUx3OaWkFBC9HsQOo/edit?usp=sharing"",""ยโสธร!L191"")+IMPORTRANGE(""https://docs.google.com/spreadsheets/d/1v_cJrbBlyqmnHPReHk44g9NrMRdENNlSy_E_c5M9fIg/edit?usp=sharing"",""ร้อยเอ็ด!L191"")+IMPORTRANGE(""https://docs.google.com"&amp;"/spreadsheets/d/1Ul4RCpCX66NxYADU1QpwAPjOmBzW64SsT11s1wzXw_c/edit?usp=sharing"",""เลย!L191"")+IMPORTRANGE(""https://docs.google.com/spreadsheets/d/1bRrNKwbHDVktQG10isr5vbWRtt5spIZPpkOSWgbT5ug/edit?usp=sharing"",""ศรีสะเกษ!L191"")+IMPORTRANGE(""https://doc"&amp;"s.google.com/spreadsheets/d/17P34_Ow5kFBfdQD0qspb2UuPX5zpi6WMrQzslghyvrI/edit?usp=sharing"",""สกลนคร!L191"")+IMPORTRANGE(""https://docs.google.com/spreadsheets/d/1yswqbM3-AEpThF3ZSUa1AcmHnmRTF1vlJ1CZGcJ8YuU/edit?usp=sharing"",""สุรินทร์!L191"")+IMPORTRANG"&amp;"E(""https://docs.google.com/spreadsheets/d/13JHU_EFbsQOUQ0JSQ3dWy1VTRosIWcDq6Nc99z2qzdc/edit?usp=sharing"",""หนองคาย!L191"")+IMPORTRANGE(""https://docs.google.com/spreadsheets/d/1Hx73zIEgVdDZZaYSTc46Dqv64atFhpr3GelxLbaIN8A/edit?usp=sharing"",""หนองบัวลำภู"&amp;"!L191"")+IMPORTRANGE(""https://docs.google.com/spreadsheets/d/1lFxr3ctmjFN90yc-xV6jrQ9Ty8BKYVBWnAZ15wcNIJc/edit?usp=sharing"",""อำนาจเจริญ!L191"")+IMPORTRANGE(""https://docs.google.com/spreadsheets/d/1gF7RJpRnL-1oyjyeWxs5SFWEH7y8ahOZsQlyp2A2e-A/edit?usp=s"&amp;"haring"",""อุดรธานี!L191"")+IMPORTRANGE(""https://docs.google.com/spreadsheets/d/1kfLP0j3INXRa8bTDpcEmoWewMBV61jlFlfzczfjWIgc/edit?usp=sharing"",""อุบลราชธานี!L191"")"),3091200)</f>
        <v>3091200</v>
      </c>
      <c r="M191" s="59">
        <f ca="1">IFERROR(__xludf.DUMMYFUNCTION("IMPORTRANGE(""https://docs.google.com/spreadsheets/d/1yhBcrRPreicbMKl9Bu_Snb2-OcQAF62RKfhTLhJ2eAA/edit?usp=sharing"",""กาฬสินธุ์!M191"")+IMPORTRANGE(""https://docs.google.com/spreadsheets/d/1aHkj4IaQMThhwWwevcOymEh837vdxeC_PycurhTbGFA/edit?usp=sharing"","&amp;"""ขอนแก่น!M191"")+IMPORTRANGE(""https://docs.google.com/spreadsheets/d/1FvTu2DsIWUjP6WCWra38Bkj_oOl_sOMf14r5Fg5srxU/edit?usp=sharing"",""ชัยภูมิ!M191"")+IMPORTRANGE(""https://docs.google.com/spreadsheets/d/1XVB7oCJ3pr-vBUdflwPQ8Z2LlzhnCvZaaYjAfP-647E/edit"&amp;"?usp=sharing"",""นครพนม!M191"")+IMPORTRANGE(""https://docs.google.com/spreadsheets/d/1Mnpb-8PYAgn85W6KOTD40hc_Xc55CaLfHoGAbrZ8tls/edit?usp=sharing"",""นครราชสีมา!M191"")+IMPORTRANGE(""https://docs.google.com/spreadsheets/d/1xoDLGBv9CYbyosIhki0kTq6IpYNj-gp"&amp;"jxfobnaDiut0/edit?usp=sharing"",""บึงกาฬ!M191"")+IMPORTRANGE(""https://docs.google.com/spreadsheets/d/1MMPq-JyI6DSgQETxuSiXkesP-P7JHuemnE6QJIa-Nlw/edit?usp=sharing"",""บุรีรัมย์!M191"")+IMPORTRANGE(""https://docs.google.com/spreadsheets/d/1l6IZ8xUPgMrESzc"&amp;"TYwhA1k_tPjeQjJPTqlm8Gd9eU5g/edit?usp=sharing"",""มหาสารคาม!M191"")+IMPORTRANGE(""https://docs.google.com/spreadsheets/d/1uB74YLqNjWX6FObjekfB2NtSYigTQyR2rq9u4Ub2Sq4/edit?usp=sharing"",""มุกดาหาร!M191"")+IMPORTRANGE(""https://docs.google.com/spreadsheets/"&amp;"d/1NexK3geCPxCTO1fzNF8dPec7yZyUx3OaWkFBC9HsQOo/edit?usp=sharing"",""ยโสธร!M191"")+IMPORTRANGE(""https://docs.google.com/spreadsheets/d/1v_cJrbBlyqmnHPReHk44g9NrMRdENNlSy_E_c5M9fIg/edit?usp=sharing"",""ร้อยเอ็ด!M191"")+IMPORTRANGE(""https://docs.google.com"&amp;"/spreadsheets/d/1Ul4RCpCX66NxYADU1QpwAPjOmBzW64SsT11s1wzXw_c/edit?usp=sharing"",""เลย!M191"")+IMPORTRANGE(""https://docs.google.com/spreadsheets/d/1bRrNKwbHDVktQG10isr5vbWRtt5spIZPpkOSWgbT5ug/edit?usp=sharing"",""ศรีสะเกษ!M191"")+IMPORTRANGE(""https://doc"&amp;"s.google.com/spreadsheets/d/17P34_Ow5kFBfdQD0qspb2UuPX5zpi6WMrQzslghyvrI/edit?usp=sharing"",""สกลนคร!M191"")+IMPORTRANGE(""https://docs.google.com/spreadsheets/d/1yswqbM3-AEpThF3ZSUa1AcmHnmRTF1vlJ1CZGcJ8YuU/edit?usp=sharing"",""สุรินทร์!M191"")+IMPORTRANG"&amp;"E(""https://docs.google.com/spreadsheets/d/13JHU_EFbsQOUQ0JSQ3dWy1VTRosIWcDq6Nc99z2qzdc/edit?usp=sharing"",""หนองคาย!M191"")+IMPORTRANGE(""https://docs.google.com/spreadsheets/d/1Hx73zIEgVdDZZaYSTc46Dqv64atFhpr3GelxLbaIN8A/edit?usp=sharing"",""หนองบัวลำภู"&amp;"!M191"")+IMPORTRANGE(""https://docs.google.com/spreadsheets/d/1lFxr3ctmjFN90yc-xV6jrQ9Ty8BKYVBWnAZ15wcNIJc/edit?usp=sharing"",""อำนาจเจริญ!M191"")+IMPORTRANGE(""https://docs.google.com/spreadsheets/d/1gF7RJpRnL-1oyjyeWxs5SFWEH7y8ahOZsQlyp2A2e-A/edit?usp=s"&amp;"haring"",""อุดรธานี!M191"")+IMPORTRANGE(""https://docs.google.com/spreadsheets/d/1kfLP0j3INXRa8bTDpcEmoWewMBV61jlFlfzczfjWIgc/edit?usp=sharing"",""อุบลราชธานี!M191"")"),2116400)</f>
        <v>2116400</v>
      </c>
      <c r="N191" s="59">
        <f ca="1">IFERROR(__xludf.DUMMYFUNCTION("IMPORTRANGE(""https://docs.google.com/spreadsheets/d/1yhBcrRPreicbMKl9Bu_Snb2-OcQAF62RKfhTLhJ2eAA/edit?usp=sharing"",""กาฬสินธุ์!N191"")+IMPORTRANGE(""https://docs.google.com/spreadsheets/d/1aHkj4IaQMThhwWwevcOymEh837vdxeC_PycurhTbGFA/edit?usp=sharing"","&amp;"""ขอนแก่น!N191"")+IMPORTRANGE(""https://docs.google.com/spreadsheets/d/1FvTu2DsIWUjP6WCWra38Bkj_oOl_sOMf14r5Fg5srxU/edit?usp=sharing"",""ชัยภูมิ!N191"")+IMPORTRANGE(""https://docs.google.com/spreadsheets/d/1XVB7oCJ3pr-vBUdflwPQ8Z2LlzhnCvZaaYjAfP-647E/edit"&amp;"?usp=sharing"",""นครพนม!N191"")+IMPORTRANGE(""https://docs.google.com/spreadsheets/d/1Mnpb-8PYAgn85W6KOTD40hc_Xc55CaLfHoGAbrZ8tls/edit?usp=sharing"",""นครราชสีมา!N191"")+IMPORTRANGE(""https://docs.google.com/spreadsheets/d/1xoDLGBv9CYbyosIhki0kTq6IpYNj-gp"&amp;"jxfobnaDiut0/edit?usp=sharing"",""บึงกาฬ!N191"")+IMPORTRANGE(""https://docs.google.com/spreadsheets/d/1MMPq-JyI6DSgQETxuSiXkesP-P7JHuemnE6QJIa-Nlw/edit?usp=sharing"",""บุรีรัมย์!N191"")+IMPORTRANGE(""https://docs.google.com/spreadsheets/d/1l6IZ8xUPgMrESzc"&amp;"TYwhA1k_tPjeQjJPTqlm8Gd9eU5g/edit?usp=sharing"",""มหาสารคาม!N191"")+IMPORTRANGE(""https://docs.google.com/spreadsheets/d/1uB74YLqNjWX6FObjekfB2NtSYigTQyR2rq9u4Ub2Sq4/edit?usp=sharing"",""มุกดาหาร!N191"")+IMPORTRANGE(""https://docs.google.com/spreadsheets/"&amp;"d/1NexK3geCPxCTO1fzNF8dPec7yZyUx3OaWkFBC9HsQOo/edit?usp=sharing"",""ยโสธร!N191"")+IMPORTRANGE(""https://docs.google.com/spreadsheets/d/1v_cJrbBlyqmnHPReHk44g9NrMRdENNlSy_E_c5M9fIg/edit?usp=sharing"",""ร้อยเอ็ด!N191"")+IMPORTRANGE(""https://docs.google.com"&amp;"/spreadsheets/d/1Ul4RCpCX66NxYADU1QpwAPjOmBzW64SsT11s1wzXw_c/edit?usp=sharing"",""เลย!N191"")+IMPORTRANGE(""https://docs.google.com/spreadsheets/d/1bRrNKwbHDVktQG10isr5vbWRtt5spIZPpkOSWgbT5ug/edit?usp=sharing"",""ศรีสะเกษ!N191"")+IMPORTRANGE(""https://doc"&amp;"s.google.com/spreadsheets/d/17P34_Ow5kFBfdQD0qspb2UuPX5zpi6WMrQzslghyvrI/edit?usp=sharing"",""สกลนคร!N191"")+IMPORTRANGE(""https://docs.google.com/spreadsheets/d/1yswqbM3-AEpThF3ZSUa1AcmHnmRTF1vlJ1CZGcJ8YuU/edit?usp=sharing"",""สุรินทร์!N191"")+IMPORTRANG"&amp;"E(""https://docs.google.com/spreadsheets/d/13JHU_EFbsQOUQ0JSQ3dWy1VTRosIWcDq6Nc99z2qzdc/edit?usp=sharing"",""หนองคาย!N191"")+IMPORTRANGE(""https://docs.google.com/spreadsheets/d/1Hx73zIEgVdDZZaYSTc46Dqv64atFhpr3GelxLbaIN8A/edit?usp=sharing"",""หนองบัวลำภู"&amp;"!N191"")+IMPORTRANGE(""https://docs.google.com/spreadsheets/d/1lFxr3ctmjFN90yc-xV6jrQ9Ty8BKYVBWnAZ15wcNIJc/edit?usp=sharing"",""อำนาจเจริญ!N191"")+IMPORTRANGE(""https://docs.google.com/spreadsheets/d/1gF7RJpRnL-1oyjyeWxs5SFWEH7y8ahOZsQlyp2A2e-A/edit?usp=s"&amp;"haring"",""อุดรธานี!N191"")+IMPORTRANGE(""https://docs.google.com/spreadsheets/d/1kfLP0j3INXRa8bTDpcEmoWewMBV61jlFlfzczfjWIgc/edit?usp=sharing"",""อุบลราชธานี!N191"")"),485849.96)</f>
        <v>485849.96</v>
      </c>
      <c r="O191" s="59">
        <f t="shared" ca="1" si="93"/>
        <v>15.717195910973086</v>
      </c>
      <c r="P191" s="59">
        <f t="shared" ca="1" si="94"/>
        <v>22.956433566433567</v>
      </c>
    </row>
    <row r="192" spans="1:16" ht="18.75" x14ac:dyDescent="0.25">
      <c r="A192" s="157"/>
      <c r="B192" s="53"/>
      <c r="C192" s="53"/>
      <c r="D192" s="54" t="s">
        <v>21</v>
      </c>
      <c r="E192" s="53"/>
      <c r="F192" s="53"/>
      <c r="G192" s="55"/>
      <c r="H192" s="166" t="s">
        <v>12</v>
      </c>
      <c r="I192" s="164"/>
      <c r="J192" s="164"/>
      <c r="K192" s="165"/>
      <c r="L192" s="59">
        <f t="shared" ref="L192:N192" ca="1" si="98">L193+L194</f>
        <v>0</v>
      </c>
      <c r="M192" s="59">
        <f t="shared" ca="1" si="98"/>
        <v>0</v>
      </c>
      <c r="N192" s="59">
        <f t="shared" ca="1" si="98"/>
        <v>0</v>
      </c>
      <c r="O192" s="59">
        <f t="shared" ca="1" si="93"/>
        <v>0</v>
      </c>
      <c r="P192" s="59">
        <f t="shared" ca="1" si="94"/>
        <v>0</v>
      </c>
    </row>
    <row r="193" spans="1:16" ht="18.75" x14ac:dyDescent="0.25">
      <c r="A193" s="157"/>
      <c r="B193" s="53"/>
      <c r="C193" s="53"/>
      <c r="D193" s="53"/>
      <c r="E193" s="60" t="s">
        <v>18</v>
      </c>
      <c r="F193" s="53"/>
      <c r="G193" s="55"/>
      <c r="H193" s="163" t="s">
        <v>12</v>
      </c>
      <c r="I193" s="164"/>
      <c r="J193" s="164"/>
      <c r="K193" s="165"/>
      <c r="L193" s="59">
        <f ca="1">IFERROR(__xludf.DUMMYFUNCTION("IMPORTRANGE(""https://docs.google.com/spreadsheets/d/1yhBcrRPreicbMKl9Bu_Snb2-OcQAF62RKfhTLhJ2eAA/edit?usp=sharing"",""กาฬสินธุ์!L193"")+IMPORTRANGE(""https://docs.google.com/spreadsheets/d/1aHkj4IaQMThhwWwevcOymEh837vdxeC_PycurhTbGFA/edit?usp=sharing"","&amp;"""ขอนแก่น!L193"")+IMPORTRANGE(""https://docs.google.com/spreadsheets/d/1FvTu2DsIWUjP6WCWra38Bkj_oOl_sOMf14r5Fg5srxU/edit?usp=sharing"",""ชัยภูมิ!L193"")+IMPORTRANGE(""https://docs.google.com/spreadsheets/d/1XVB7oCJ3pr-vBUdflwPQ8Z2LlzhnCvZaaYjAfP-647E/edit"&amp;"?usp=sharing"",""นครพนม!L193"")+IMPORTRANGE(""https://docs.google.com/spreadsheets/d/1Mnpb-8PYAgn85W6KOTD40hc_Xc55CaLfHoGAbrZ8tls/edit?usp=sharing"",""นครราชสีมา!L193"")+IMPORTRANGE(""https://docs.google.com/spreadsheets/d/1xoDLGBv9CYbyosIhki0kTq6IpYNj-gp"&amp;"jxfobnaDiut0/edit?usp=sharing"",""บึงกาฬ!L193"")+IMPORTRANGE(""https://docs.google.com/spreadsheets/d/1MMPq-JyI6DSgQETxuSiXkesP-P7JHuemnE6QJIa-Nlw/edit?usp=sharing"",""บุรีรัมย์!L193"")+IMPORTRANGE(""https://docs.google.com/spreadsheets/d/1l6IZ8xUPgMrESzc"&amp;"TYwhA1k_tPjeQjJPTqlm8Gd9eU5g/edit?usp=sharing"",""มหาสารคาม!L193"")+IMPORTRANGE(""https://docs.google.com/spreadsheets/d/1uB74YLqNjWX6FObjekfB2NtSYigTQyR2rq9u4Ub2Sq4/edit?usp=sharing"",""มุกดาหาร!L193"")+IMPORTRANGE(""https://docs.google.com/spreadsheets/"&amp;"d/1NexK3geCPxCTO1fzNF8dPec7yZyUx3OaWkFBC9HsQOo/edit?usp=sharing"",""ยโสธร!L193"")+IMPORTRANGE(""https://docs.google.com/spreadsheets/d/1v_cJrbBlyqmnHPReHk44g9NrMRdENNlSy_E_c5M9fIg/edit?usp=sharing"",""ร้อยเอ็ด!L193"")+IMPORTRANGE(""https://docs.google.com"&amp;"/spreadsheets/d/1Ul4RCpCX66NxYADU1QpwAPjOmBzW64SsT11s1wzXw_c/edit?usp=sharing"",""เลย!L193"")+IMPORTRANGE(""https://docs.google.com/spreadsheets/d/1bRrNKwbHDVktQG10isr5vbWRtt5spIZPpkOSWgbT5ug/edit?usp=sharing"",""ศรีสะเกษ!L193"")+IMPORTRANGE(""https://doc"&amp;"s.google.com/spreadsheets/d/17P34_Ow5kFBfdQD0qspb2UuPX5zpi6WMrQzslghyvrI/edit?usp=sharing"",""สกลนคร!L193"")+IMPORTRANGE(""https://docs.google.com/spreadsheets/d/1yswqbM3-AEpThF3ZSUa1AcmHnmRTF1vlJ1CZGcJ8YuU/edit?usp=sharing"",""สุรินทร์!L193"")+IMPORTRANG"&amp;"E(""https://docs.google.com/spreadsheets/d/13JHU_EFbsQOUQ0JSQ3dWy1VTRosIWcDq6Nc99z2qzdc/edit?usp=sharing"",""หนองคาย!L193"")+IMPORTRANGE(""https://docs.google.com/spreadsheets/d/1Hx73zIEgVdDZZaYSTc46Dqv64atFhpr3GelxLbaIN8A/edit?usp=sharing"",""หนองบัวลำภู"&amp;"!L193"")+IMPORTRANGE(""https://docs.google.com/spreadsheets/d/1lFxr3ctmjFN90yc-xV6jrQ9Ty8BKYVBWnAZ15wcNIJc/edit?usp=sharing"",""อำนาจเจริญ!L193"")+IMPORTRANGE(""https://docs.google.com/spreadsheets/d/1gF7RJpRnL-1oyjyeWxs5SFWEH7y8ahOZsQlyp2A2e-A/edit?usp=s"&amp;"haring"",""อุดรธานี!L193"")+IMPORTRANGE(""https://docs.google.com/spreadsheets/d/1kfLP0j3INXRa8bTDpcEmoWewMBV61jlFlfzczfjWIgc/edit?usp=sharing"",""อุบลราชธานี!L193"")"),0)</f>
        <v>0</v>
      </c>
      <c r="M193" s="59">
        <f ca="1">IFERROR(__xludf.DUMMYFUNCTION("IMPORTRANGE(""https://docs.google.com/spreadsheets/d/1yhBcrRPreicbMKl9Bu_Snb2-OcQAF62RKfhTLhJ2eAA/edit?usp=sharing"",""กาฬสินธุ์!M193"")+IMPORTRANGE(""https://docs.google.com/spreadsheets/d/1aHkj4IaQMThhwWwevcOymEh837vdxeC_PycurhTbGFA/edit?usp=sharing"","&amp;"""ขอนแก่น!M193"")+IMPORTRANGE(""https://docs.google.com/spreadsheets/d/1FvTu2DsIWUjP6WCWra38Bkj_oOl_sOMf14r5Fg5srxU/edit?usp=sharing"",""ชัยภูมิ!M193"")+IMPORTRANGE(""https://docs.google.com/spreadsheets/d/1XVB7oCJ3pr-vBUdflwPQ8Z2LlzhnCvZaaYjAfP-647E/edit"&amp;"?usp=sharing"",""นครพนม!M193"")+IMPORTRANGE(""https://docs.google.com/spreadsheets/d/1Mnpb-8PYAgn85W6KOTD40hc_Xc55CaLfHoGAbrZ8tls/edit?usp=sharing"",""นครราชสีมา!M193"")+IMPORTRANGE(""https://docs.google.com/spreadsheets/d/1xoDLGBv9CYbyosIhki0kTq6IpYNj-gp"&amp;"jxfobnaDiut0/edit?usp=sharing"",""บึงกาฬ!M193"")+IMPORTRANGE(""https://docs.google.com/spreadsheets/d/1MMPq-JyI6DSgQETxuSiXkesP-P7JHuemnE6QJIa-Nlw/edit?usp=sharing"",""บุรีรัมย์!M193"")+IMPORTRANGE(""https://docs.google.com/spreadsheets/d/1l6IZ8xUPgMrESzc"&amp;"TYwhA1k_tPjeQjJPTqlm8Gd9eU5g/edit?usp=sharing"",""มหาสารคาม!M193"")+IMPORTRANGE(""https://docs.google.com/spreadsheets/d/1uB74YLqNjWX6FObjekfB2NtSYigTQyR2rq9u4Ub2Sq4/edit?usp=sharing"",""มุกดาหาร!M193"")+IMPORTRANGE(""https://docs.google.com/spreadsheets/"&amp;"d/1NexK3geCPxCTO1fzNF8dPec7yZyUx3OaWkFBC9HsQOo/edit?usp=sharing"",""ยโสธร!M193"")+IMPORTRANGE(""https://docs.google.com/spreadsheets/d/1v_cJrbBlyqmnHPReHk44g9NrMRdENNlSy_E_c5M9fIg/edit?usp=sharing"",""ร้อยเอ็ด!M193"")+IMPORTRANGE(""https://docs.google.com"&amp;"/spreadsheets/d/1Ul4RCpCX66NxYADU1QpwAPjOmBzW64SsT11s1wzXw_c/edit?usp=sharing"",""เลย!M193"")+IMPORTRANGE(""https://docs.google.com/spreadsheets/d/1bRrNKwbHDVktQG10isr5vbWRtt5spIZPpkOSWgbT5ug/edit?usp=sharing"",""ศรีสะเกษ!M193"")+IMPORTRANGE(""https://doc"&amp;"s.google.com/spreadsheets/d/17P34_Ow5kFBfdQD0qspb2UuPX5zpi6WMrQzslghyvrI/edit?usp=sharing"",""สกลนคร!M193"")+IMPORTRANGE(""https://docs.google.com/spreadsheets/d/1yswqbM3-AEpThF3ZSUa1AcmHnmRTF1vlJ1CZGcJ8YuU/edit?usp=sharing"",""สุรินทร์!M193"")+IMPORTRANG"&amp;"E(""https://docs.google.com/spreadsheets/d/13JHU_EFbsQOUQ0JSQ3dWy1VTRosIWcDq6Nc99z2qzdc/edit?usp=sharing"",""หนองคาย!M193"")+IMPORTRANGE(""https://docs.google.com/spreadsheets/d/1Hx73zIEgVdDZZaYSTc46Dqv64atFhpr3GelxLbaIN8A/edit?usp=sharing"",""หนองบัวลำภู"&amp;"!M193"")+IMPORTRANGE(""https://docs.google.com/spreadsheets/d/1lFxr3ctmjFN90yc-xV6jrQ9Ty8BKYVBWnAZ15wcNIJc/edit?usp=sharing"",""อำนาจเจริญ!M193"")+IMPORTRANGE(""https://docs.google.com/spreadsheets/d/1gF7RJpRnL-1oyjyeWxs5SFWEH7y8ahOZsQlyp2A2e-A/edit?usp=s"&amp;"haring"",""อุดรธานี!M193"")+IMPORTRANGE(""https://docs.google.com/spreadsheets/d/1kfLP0j3INXRa8bTDpcEmoWewMBV61jlFlfzczfjWIgc/edit?usp=sharing"",""อุบลราชธานี!M193"")"),0)</f>
        <v>0</v>
      </c>
      <c r="N193" s="59">
        <f ca="1">IFERROR(__xludf.DUMMYFUNCTION("IMPORTRANGE(""https://docs.google.com/spreadsheets/d/1yhBcrRPreicbMKl9Bu_Snb2-OcQAF62RKfhTLhJ2eAA/edit?usp=sharing"",""กาฬสินธุ์!N193"")+IMPORTRANGE(""https://docs.google.com/spreadsheets/d/1aHkj4IaQMThhwWwevcOymEh837vdxeC_PycurhTbGFA/edit?usp=sharing"","&amp;"""ขอนแก่น!N193"")+IMPORTRANGE(""https://docs.google.com/spreadsheets/d/1FvTu2DsIWUjP6WCWra38Bkj_oOl_sOMf14r5Fg5srxU/edit?usp=sharing"",""ชัยภูมิ!N193"")+IMPORTRANGE(""https://docs.google.com/spreadsheets/d/1XVB7oCJ3pr-vBUdflwPQ8Z2LlzhnCvZaaYjAfP-647E/edit"&amp;"?usp=sharing"",""นครพนม!N193"")+IMPORTRANGE(""https://docs.google.com/spreadsheets/d/1Mnpb-8PYAgn85W6KOTD40hc_Xc55CaLfHoGAbrZ8tls/edit?usp=sharing"",""นครราชสีมา!N193"")+IMPORTRANGE(""https://docs.google.com/spreadsheets/d/1xoDLGBv9CYbyosIhki0kTq6IpYNj-gp"&amp;"jxfobnaDiut0/edit?usp=sharing"",""บึงกาฬ!N193"")+IMPORTRANGE(""https://docs.google.com/spreadsheets/d/1MMPq-JyI6DSgQETxuSiXkesP-P7JHuemnE6QJIa-Nlw/edit?usp=sharing"",""บุรีรัมย์!N193"")+IMPORTRANGE(""https://docs.google.com/spreadsheets/d/1l6IZ8xUPgMrESzc"&amp;"TYwhA1k_tPjeQjJPTqlm8Gd9eU5g/edit?usp=sharing"",""มหาสารคาม!N193"")+IMPORTRANGE(""https://docs.google.com/spreadsheets/d/1uB74YLqNjWX6FObjekfB2NtSYigTQyR2rq9u4Ub2Sq4/edit?usp=sharing"",""มุกดาหาร!N193"")+IMPORTRANGE(""https://docs.google.com/spreadsheets/"&amp;"d/1NexK3geCPxCTO1fzNF8dPec7yZyUx3OaWkFBC9HsQOo/edit?usp=sharing"",""ยโสธร!N193"")+IMPORTRANGE(""https://docs.google.com/spreadsheets/d/1v_cJrbBlyqmnHPReHk44g9NrMRdENNlSy_E_c5M9fIg/edit?usp=sharing"",""ร้อยเอ็ด!N193"")+IMPORTRANGE(""https://docs.google.com"&amp;"/spreadsheets/d/1Ul4RCpCX66NxYADU1QpwAPjOmBzW64SsT11s1wzXw_c/edit?usp=sharing"",""เลย!N193"")+IMPORTRANGE(""https://docs.google.com/spreadsheets/d/1bRrNKwbHDVktQG10isr5vbWRtt5spIZPpkOSWgbT5ug/edit?usp=sharing"",""ศรีสะเกษ!N193"")+IMPORTRANGE(""https://doc"&amp;"s.google.com/spreadsheets/d/17P34_Ow5kFBfdQD0qspb2UuPX5zpi6WMrQzslghyvrI/edit?usp=sharing"",""สกลนคร!N193"")+IMPORTRANGE(""https://docs.google.com/spreadsheets/d/1yswqbM3-AEpThF3ZSUa1AcmHnmRTF1vlJ1CZGcJ8YuU/edit?usp=sharing"",""สุรินทร์!N193"")+IMPORTRANG"&amp;"E(""https://docs.google.com/spreadsheets/d/13JHU_EFbsQOUQ0JSQ3dWy1VTRosIWcDq6Nc99z2qzdc/edit?usp=sharing"",""หนองคาย!N193"")+IMPORTRANGE(""https://docs.google.com/spreadsheets/d/1Hx73zIEgVdDZZaYSTc46Dqv64atFhpr3GelxLbaIN8A/edit?usp=sharing"",""หนองบัวลำภู"&amp;"!N193"")+IMPORTRANGE(""https://docs.google.com/spreadsheets/d/1lFxr3ctmjFN90yc-xV6jrQ9Ty8BKYVBWnAZ15wcNIJc/edit?usp=sharing"",""อำนาจเจริญ!N193"")+IMPORTRANGE(""https://docs.google.com/spreadsheets/d/1gF7RJpRnL-1oyjyeWxs5SFWEH7y8ahOZsQlyp2A2e-A/edit?usp=s"&amp;"haring"",""อุดรธานี!N193"")+IMPORTRANGE(""https://docs.google.com/spreadsheets/d/1kfLP0j3INXRa8bTDpcEmoWewMBV61jlFlfzczfjWIgc/edit?usp=sharing"",""อุบลราชธานี!N193"")"),0)</f>
        <v>0</v>
      </c>
      <c r="O193" s="59">
        <f t="shared" ca="1" si="93"/>
        <v>0</v>
      </c>
      <c r="P193" s="59">
        <f t="shared" ca="1" si="94"/>
        <v>0</v>
      </c>
    </row>
    <row r="194" spans="1:16" ht="18.75" x14ac:dyDescent="0.25">
      <c r="A194" s="157"/>
      <c r="B194" s="53"/>
      <c r="C194" s="53"/>
      <c r="D194" s="53"/>
      <c r="E194" s="60" t="s">
        <v>19</v>
      </c>
      <c r="F194" s="53"/>
      <c r="G194" s="55"/>
      <c r="H194" s="166" t="s">
        <v>12</v>
      </c>
      <c r="I194" s="164"/>
      <c r="J194" s="164"/>
      <c r="K194" s="165"/>
      <c r="L194" s="59">
        <f ca="1">IFERROR(__xludf.DUMMYFUNCTION("IMPORTRANGE(""https://docs.google.com/spreadsheets/d/1yhBcrRPreicbMKl9Bu_Snb2-OcQAF62RKfhTLhJ2eAA/edit?usp=sharing"",""กาฬสินธุ์!L194"")+IMPORTRANGE(""https://docs.google.com/spreadsheets/d/1aHkj4IaQMThhwWwevcOymEh837vdxeC_PycurhTbGFA/edit?usp=sharing"","&amp;"""ขอนแก่น!L194"")+IMPORTRANGE(""https://docs.google.com/spreadsheets/d/1FvTu2DsIWUjP6WCWra38Bkj_oOl_sOMf14r5Fg5srxU/edit?usp=sharing"",""ชัยภูมิ!L194"")+IMPORTRANGE(""https://docs.google.com/spreadsheets/d/1XVB7oCJ3pr-vBUdflwPQ8Z2LlzhnCvZaaYjAfP-647E/edit"&amp;"?usp=sharing"",""นครพนม!L194"")+IMPORTRANGE(""https://docs.google.com/spreadsheets/d/1Mnpb-8PYAgn85W6KOTD40hc_Xc55CaLfHoGAbrZ8tls/edit?usp=sharing"",""นครราชสีมา!L194"")+IMPORTRANGE(""https://docs.google.com/spreadsheets/d/1xoDLGBv9CYbyosIhki0kTq6IpYNj-gp"&amp;"jxfobnaDiut0/edit?usp=sharing"",""บึงกาฬ!L194"")+IMPORTRANGE(""https://docs.google.com/spreadsheets/d/1MMPq-JyI6DSgQETxuSiXkesP-P7JHuemnE6QJIa-Nlw/edit?usp=sharing"",""บุรีรัมย์!L194"")+IMPORTRANGE(""https://docs.google.com/spreadsheets/d/1l6IZ8xUPgMrESzc"&amp;"TYwhA1k_tPjeQjJPTqlm8Gd9eU5g/edit?usp=sharing"",""มหาสารคาม!L194"")+IMPORTRANGE(""https://docs.google.com/spreadsheets/d/1uB74YLqNjWX6FObjekfB2NtSYigTQyR2rq9u4Ub2Sq4/edit?usp=sharing"",""มุกดาหาร!L194"")+IMPORTRANGE(""https://docs.google.com/spreadsheets/"&amp;"d/1NexK3geCPxCTO1fzNF8dPec7yZyUx3OaWkFBC9HsQOo/edit?usp=sharing"",""ยโสธร!L194"")+IMPORTRANGE(""https://docs.google.com/spreadsheets/d/1v_cJrbBlyqmnHPReHk44g9NrMRdENNlSy_E_c5M9fIg/edit?usp=sharing"",""ร้อยเอ็ด!L194"")+IMPORTRANGE(""https://docs.google.com"&amp;"/spreadsheets/d/1Ul4RCpCX66NxYADU1QpwAPjOmBzW64SsT11s1wzXw_c/edit?usp=sharing"",""เลย!L194"")+IMPORTRANGE(""https://docs.google.com/spreadsheets/d/1bRrNKwbHDVktQG10isr5vbWRtt5spIZPpkOSWgbT5ug/edit?usp=sharing"",""ศรีสะเกษ!L194"")+IMPORTRANGE(""https://doc"&amp;"s.google.com/spreadsheets/d/17P34_Ow5kFBfdQD0qspb2UuPX5zpi6WMrQzslghyvrI/edit?usp=sharing"",""สกลนคร!L194"")+IMPORTRANGE(""https://docs.google.com/spreadsheets/d/1yswqbM3-AEpThF3ZSUa1AcmHnmRTF1vlJ1CZGcJ8YuU/edit?usp=sharing"",""สุรินทร์!L194"")+IMPORTRANG"&amp;"E(""https://docs.google.com/spreadsheets/d/13JHU_EFbsQOUQ0JSQ3dWy1VTRosIWcDq6Nc99z2qzdc/edit?usp=sharing"",""หนองคาย!L194"")+IMPORTRANGE(""https://docs.google.com/spreadsheets/d/1Hx73zIEgVdDZZaYSTc46Dqv64atFhpr3GelxLbaIN8A/edit?usp=sharing"",""หนองบัวลำภู"&amp;"!L194"")+IMPORTRANGE(""https://docs.google.com/spreadsheets/d/1lFxr3ctmjFN90yc-xV6jrQ9Ty8BKYVBWnAZ15wcNIJc/edit?usp=sharing"",""อำนาจเจริญ!L194"")+IMPORTRANGE(""https://docs.google.com/spreadsheets/d/1gF7RJpRnL-1oyjyeWxs5SFWEH7y8ahOZsQlyp2A2e-A/edit?usp=s"&amp;"haring"",""อุดรธานี!L194"")+IMPORTRANGE(""https://docs.google.com/spreadsheets/d/1kfLP0j3INXRa8bTDpcEmoWewMBV61jlFlfzczfjWIgc/edit?usp=sharing"",""อุบลราชธานี!L194"")"),0)</f>
        <v>0</v>
      </c>
      <c r="M194" s="59">
        <f ca="1">IFERROR(__xludf.DUMMYFUNCTION("IMPORTRANGE(""https://docs.google.com/spreadsheets/d/1yhBcrRPreicbMKl9Bu_Snb2-OcQAF62RKfhTLhJ2eAA/edit?usp=sharing"",""กาฬสินธุ์!M194"")+IMPORTRANGE(""https://docs.google.com/spreadsheets/d/1aHkj4IaQMThhwWwevcOymEh837vdxeC_PycurhTbGFA/edit?usp=sharing"","&amp;"""ขอนแก่น!M194"")+IMPORTRANGE(""https://docs.google.com/spreadsheets/d/1FvTu2DsIWUjP6WCWra38Bkj_oOl_sOMf14r5Fg5srxU/edit?usp=sharing"",""ชัยภูมิ!M194"")+IMPORTRANGE(""https://docs.google.com/spreadsheets/d/1XVB7oCJ3pr-vBUdflwPQ8Z2LlzhnCvZaaYjAfP-647E/edit"&amp;"?usp=sharing"",""นครพนม!M194"")+IMPORTRANGE(""https://docs.google.com/spreadsheets/d/1Mnpb-8PYAgn85W6KOTD40hc_Xc55CaLfHoGAbrZ8tls/edit?usp=sharing"",""นครราชสีมา!M194"")+IMPORTRANGE(""https://docs.google.com/spreadsheets/d/1xoDLGBv9CYbyosIhki0kTq6IpYNj-gp"&amp;"jxfobnaDiut0/edit?usp=sharing"",""บึงกาฬ!M194"")+IMPORTRANGE(""https://docs.google.com/spreadsheets/d/1MMPq-JyI6DSgQETxuSiXkesP-P7JHuemnE6QJIa-Nlw/edit?usp=sharing"",""บุรีรัมย์!M194"")+IMPORTRANGE(""https://docs.google.com/spreadsheets/d/1l6IZ8xUPgMrESzc"&amp;"TYwhA1k_tPjeQjJPTqlm8Gd9eU5g/edit?usp=sharing"",""มหาสารคาม!M194"")+IMPORTRANGE(""https://docs.google.com/spreadsheets/d/1uB74YLqNjWX6FObjekfB2NtSYigTQyR2rq9u4Ub2Sq4/edit?usp=sharing"",""มุกดาหาร!M194"")+IMPORTRANGE(""https://docs.google.com/spreadsheets/"&amp;"d/1NexK3geCPxCTO1fzNF8dPec7yZyUx3OaWkFBC9HsQOo/edit?usp=sharing"",""ยโสธร!M194"")+IMPORTRANGE(""https://docs.google.com/spreadsheets/d/1v_cJrbBlyqmnHPReHk44g9NrMRdENNlSy_E_c5M9fIg/edit?usp=sharing"",""ร้อยเอ็ด!M194"")+IMPORTRANGE(""https://docs.google.com"&amp;"/spreadsheets/d/1Ul4RCpCX66NxYADU1QpwAPjOmBzW64SsT11s1wzXw_c/edit?usp=sharing"",""เลย!M194"")+IMPORTRANGE(""https://docs.google.com/spreadsheets/d/1bRrNKwbHDVktQG10isr5vbWRtt5spIZPpkOSWgbT5ug/edit?usp=sharing"",""ศรีสะเกษ!M194"")+IMPORTRANGE(""https://doc"&amp;"s.google.com/spreadsheets/d/17P34_Ow5kFBfdQD0qspb2UuPX5zpi6WMrQzslghyvrI/edit?usp=sharing"",""สกลนคร!M194"")+IMPORTRANGE(""https://docs.google.com/spreadsheets/d/1yswqbM3-AEpThF3ZSUa1AcmHnmRTF1vlJ1CZGcJ8YuU/edit?usp=sharing"",""สุรินทร์!M194"")+IMPORTRANG"&amp;"E(""https://docs.google.com/spreadsheets/d/13JHU_EFbsQOUQ0JSQ3dWy1VTRosIWcDq6Nc99z2qzdc/edit?usp=sharing"",""หนองคาย!M194"")+IMPORTRANGE(""https://docs.google.com/spreadsheets/d/1Hx73zIEgVdDZZaYSTc46Dqv64atFhpr3GelxLbaIN8A/edit?usp=sharing"",""หนองบัวลำภู"&amp;"!M194"")+IMPORTRANGE(""https://docs.google.com/spreadsheets/d/1lFxr3ctmjFN90yc-xV6jrQ9Ty8BKYVBWnAZ15wcNIJc/edit?usp=sharing"",""อำนาจเจริญ!M194"")+IMPORTRANGE(""https://docs.google.com/spreadsheets/d/1gF7RJpRnL-1oyjyeWxs5SFWEH7y8ahOZsQlyp2A2e-A/edit?usp=s"&amp;"haring"",""อุดรธานี!M194"")+IMPORTRANGE(""https://docs.google.com/spreadsheets/d/1kfLP0j3INXRa8bTDpcEmoWewMBV61jlFlfzczfjWIgc/edit?usp=sharing"",""อุบลราชธานี!M194"")"),0)</f>
        <v>0</v>
      </c>
      <c r="N194" s="59">
        <f ca="1">IFERROR(__xludf.DUMMYFUNCTION("IMPORTRANGE(""https://docs.google.com/spreadsheets/d/1yhBcrRPreicbMKl9Bu_Snb2-OcQAF62RKfhTLhJ2eAA/edit?usp=sharing"",""กาฬสินธุ์!N194"")+IMPORTRANGE(""https://docs.google.com/spreadsheets/d/1aHkj4IaQMThhwWwevcOymEh837vdxeC_PycurhTbGFA/edit?usp=sharing"","&amp;"""ขอนแก่น!N194"")+IMPORTRANGE(""https://docs.google.com/spreadsheets/d/1FvTu2DsIWUjP6WCWra38Bkj_oOl_sOMf14r5Fg5srxU/edit?usp=sharing"",""ชัยภูมิ!N194"")+IMPORTRANGE(""https://docs.google.com/spreadsheets/d/1XVB7oCJ3pr-vBUdflwPQ8Z2LlzhnCvZaaYjAfP-647E/edit"&amp;"?usp=sharing"",""นครพนม!N194"")+IMPORTRANGE(""https://docs.google.com/spreadsheets/d/1Mnpb-8PYAgn85W6KOTD40hc_Xc55CaLfHoGAbrZ8tls/edit?usp=sharing"",""นครราชสีมา!N194"")+IMPORTRANGE(""https://docs.google.com/spreadsheets/d/1xoDLGBv9CYbyosIhki0kTq6IpYNj-gp"&amp;"jxfobnaDiut0/edit?usp=sharing"",""บึงกาฬ!N194"")+IMPORTRANGE(""https://docs.google.com/spreadsheets/d/1MMPq-JyI6DSgQETxuSiXkesP-P7JHuemnE6QJIa-Nlw/edit?usp=sharing"",""บุรีรัมย์!N194"")+IMPORTRANGE(""https://docs.google.com/spreadsheets/d/1l6IZ8xUPgMrESzc"&amp;"TYwhA1k_tPjeQjJPTqlm8Gd9eU5g/edit?usp=sharing"",""มหาสารคาม!N194"")+IMPORTRANGE(""https://docs.google.com/spreadsheets/d/1uB74YLqNjWX6FObjekfB2NtSYigTQyR2rq9u4Ub2Sq4/edit?usp=sharing"",""มุกดาหาร!N194"")+IMPORTRANGE(""https://docs.google.com/spreadsheets/"&amp;"d/1NexK3geCPxCTO1fzNF8dPec7yZyUx3OaWkFBC9HsQOo/edit?usp=sharing"",""ยโสธร!N194"")+IMPORTRANGE(""https://docs.google.com/spreadsheets/d/1v_cJrbBlyqmnHPReHk44g9NrMRdENNlSy_E_c5M9fIg/edit?usp=sharing"",""ร้อยเอ็ด!N194"")+IMPORTRANGE(""https://docs.google.com"&amp;"/spreadsheets/d/1Ul4RCpCX66NxYADU1QpwAPjOmBzW64SsT11s1wzXw_c/edit?usp=sharing"",""เลย!N194"")+IMPORTRANGE(""https://docs.google.com/spreadsheets/d/1bRrNKwbHDVktQG10isr5vbWRtt5spIZPpkOSWgbT5ug/edit?usp=sharing"",""ศรีสะเกษ!N194"")+IMPORTRANGE(""https://doc"&amp;"s.google.com/spreadsheets/d/17P34_Ow5kFBfdQD0qspb2UuPX5zpi6WMrQzslghyvrI/edit?usp=sharing"",""สกลนคร!N194"")+IMPORTRANGE(""https://docs.google.com/spreadsheets/d/1yswqbM3-AEpThF3ZSUa1AcmHnmRTF1vlJ1CZGcJ8YuU/edit?usp=sharing"",""สุรินทร์!N194"")+IMPORTRANG"&amp;"E(""https://docs.google.com/spreadsheets/d/13JHU_EFbsQOUQ0JSQ3dWy1VTRosIWcDq6Nc99z2qzdc/edit?usp=sharing"",""หนองคาย!N194"")+IMPORTRANGE(""https://docs.google.com/spreadsheets/d/1Hx73zIEgVdDZZaYSTc46Dqv64atFhpr3GelxLbaIN8A/edit?usp=sharing"",""หนองบัวลำภู"&amp;"!N194"")+IMPORTRANGE(""https://docs.google.com/spreadsheets/d/1lFxr3ctmjFN90yc-xV6jrQ9Ty8BKYVBWnAZ15wcNIJc/edit?usp=sharing"",""อำนาจเจริญ!N194"")+IMPORTRANGE(""https://docs.google.com/spreadsheets/d/1gF7RJpRnL-1oyjyeWxs5SFWEH7y8ahOZsQlyp2A2e-A/edit?usp=s"&amp;"haring"",""อุดรธานี!N194"")+IMPORTRANGE(""https://docs.google.com/spreadsheets/d/1kfLP0j3INXRa8bTDpcEmoWewMBV61jlFlfzczfjWIgc/edit?usp=sharing"",""อุบลราชธานี!N194"")"),0)</f>
        <v>0</v>
      </c>
      <c r="O194" s="59">
        <f t="shared" ca="1" si="93"/>
        <v>0</v>
      </c>
      <c r="P194" s="59">
        <f t="shared" ca="1" si="94"/>
        <v>0</v>
      </c>
    </row>
    <row r="195" spans="1:16" ht="19.5" x14ac:dyDescent="0.3">
      <c r="A195" s="279"/>
      <c r="B195" s="280"/>
      <c r="C195" s="281" t="s">
        <v>72</v>
      </c>
      <c r="D195" s="282"/>
      <c r="E195" s="282"/>
      <c r="F195" s="282"/>
      <c r="G195" s="283"/>
      <c r="H195" s="284" t="s">
        <v>73</v>
      </c>
      <c r="I195" s="285">
        <f t="shared" ref="I195:J195" ca="1" si="99">I198</f>
        <v>80</v>
      </c>
      <c r="J195" s="285">
        <f t="shared" ca="1" si="99"/>
        <v>4</v>
      </c>
      <c r="K195" s="286">
        <f ca="1">IF(I195&gt;0,J195*100/I195,0)</f>
        <v>5</v>
      </c>
      <c r="L195" s="287"/>
      <c r="M195" s="287"/>
      <c r="N195" s="287"/>
      <c r="O195" s="287"/>
      <c r="P195" s="287"/>
    </row>
    <row r="196" spans="1:16" ht="19.5" x14ac:dyDescent="0.3">
      <c r="A196" s="157"/>
      <c r="B196" s="53"/>
      <c r="C196" s="158" t="s">
        <v>16</v>
      </c>
      <c r="D196" s="288" t="s">
        <v>17</v>
      </c>
      <c r="E196" s="53"/>
      <c r="F196" s="53"/>
      <c r="G196" s="55"/>
      <c r="H196" s="289" t="s">
        <v>12</v>
      </c>
      <c r="I196" s="57"/>
      <c r="J196" s="57"/>
      <c r="K196" s="58"/>
      <c r="L196" s="161">
        <f ca="1">IFERROR(__xludf.DUMMYFUNCTION("IMPORTRANGE(""https://docs.google.com/spreadsheets/d/1yhBcrRPreicbMKl9Bu_Snb2-OcQAF62RKfhTLhJ2eAA/edit?usp=sharing"",""กาฬสินธุ์!L196"")+IMPORTRANGE(""https://docs.google.com/spreadsheets/d/1aHkj4IaQMThhwWwevcOymEh837vdxeC_PycurhTbGFA/edit?usp=sharing"","&amp;"""ขอนแก่น!L196"")+IMPORTRANGE(""https://docs.google.com/spreadsheets/d/1FvTu2DsIWUjP6WCWra38Bkj_oOl_sOMf14r5Fg5srxU/edit?usp=sharing"",""ชัยภูมิ!L196"")+IMPORTRANGE(""https://docs.google.com/spreadsheets/d/1XVB7oCJ3pr-vBUdflwPQ8Z2LlzhnCvZaaYjAfP-647E/edit"&amp;"?usp=sharing"",""นครพนม!L196"")+IMPORTRANGE(""https://docs.google.com/spreadsheets/d/1Mnpb-8PYAgn85W6KOTD40hc_Xc55CaLfHoGAbrZ8tls/edit?usp=sharing"",""นครราชสีมา!L196"")+IMPORTRANGE(""https://docs.google.com/spreadsheets/d/1xoDLGBv9CYbyosIhki0kTq6IpYNj-gp"&amp;"jxfobnaDiut0/edit?usp=sharing"",""บึงกาฬ!L196"")+IMPORTRANGE(""https://docs.google.com/spreadsheets/d/1MMPq-JyI6DSgQETxuSiXkesP-P7JHuemnE6QJIa-Nlw/edit?usp=sharing"",""บุรีรัมย์!L196"")+IMPORTRANGE(""https://docs.google.com/spreadsheets/d/1l6IZ8xUPgMrESzc"&amp;"TYwhA1k_tPjeQjJPTqlm8Gd9eU5g/edit?usp=sharing"",""มหาสารคาม!L196"")+IMPORTRANGE(""https://docs.google.com/spreadsheets/d/1uB74YLqNjWX6FObjekfB2NtSYigTQyR2rq9u4Ub2Sq4/edit?usp=sharing"",""มุกดาหาร!L196"")+IMPORTRANGE(""https://docs.google.com/spreadsheets/"&amp;"d/1NexK3geCPxCTO1fzNF8dPec7yZyUx3OaWkFBC9HsQOo/edit?usp=sharing"",""ยโสธร!L196"")+IMPORTRANGE(""https://docs.google.com/spreadsheets/d/1v_cJrbBlyqmnHPReHk44g9NrMRdENNlSy_E_c5M9fIg/edit?usp=sharing"",""ร้อยเอ็ด!L196"")+IMPORTRANGE(""https://docs.google.com"&amp;"/spreadsheets/d/1Ul4RCpCX66NxYADU1QpwAPjOmBzW64SsT11s1wzXw_c/edit?usp=sharing"",""เลย!L196"")+IMPORTRANGE(""https://docs.google.com/spreadsheets/d/1bRrNKwbHDVktQG10isr5vbWRtt5spIZPpkOSWgbT5ug/edit?usp=sharing"",""ศรีสะเกษ!L196"")+IMPORTRANGE(""https://doc"&amp;"s.google.com/spreadsheets/d/17P34_Ow5kFBfdQD0qspb2UuPX5zpi6WMrQzslghyvrI/edit?usp=sharing"",""สกลนคร!L196"")+IMPORTRANGE(""https://docs.google.com/spreadsheets/d/1yswqbM3-AEpThF3ZSUa1AcmHnmRTF1vlJ1CZGcJ8YuU/edit?usp=sharing"",""สุรินทร์!L196"")+IMPORTRANG"&amp;"E(""https://docs.google.com/spreadsheets/d/13JHU_EFbsQOUQ0JSQ3dWy1VTRosIWcDq6Nc99z2qzdc/edit?usp=sharing"",""หนองคาย!L196"")+IMPORTRANGE(""https://docs.google.com/spreadsheets/d/1Hx73zIEgVdDZZaYSTc46Dqv64atFhpr3GelxLbaIN8A/edit?usp=sharing"",""หนองบัวลำภู"&amp;"!L196"")+IMPORTRANGE(""https://docs.google.com/spreadsheets/d/1lFxr3ctmjFN90yc-xV6jrQ9Ty8BKYVBWnAZ15wcNIJc/edit?usp=sharing"",""อำนาจเจริญ!L196"")+IMPORTRANGE(""https://docs.google.com/spreadsheets/d/1gF7RJpRnL-1oyjyeWxs5SFWEH7y8ahOZsQlyp2A2e-A/edit?usp=s"&amp;"haring"",""อุดรธานี!L196"")+IMPORTRANGE(""https://docs.google.com/spreadsheets/d/1kfLP0j3INXRa8bTDpcEmoWewMBV61jlFlfzczfjWIgc/edit?usp=sharing"",""อุบลราชธานี!L196"")"),120000)</f>
        <v>120000</v>
      </c>
      <c r="M196" s="58"/>
      <c r="N196" s="161">
        <f ca="1">IFERROR(__xludf.DUMMYFUNCTION("IMPORTRANGE(""https://docs.google.com/spreadsheets/d/1yhBcrRPreicbMKl9Bu_Snb2-OcQAF62RKfhTLhJ2eAA/edit?usp=sharing"",""กาฬสินธุ์!N196"")+IMPORTRANGE(""https://docs.google.com/spreadsheets/d/1aHkj4IaQMThhwWwevcOymEh837vdxeC_PycurhTbGFA/edit?usp=sharing"","&amp;"""ขอนแก่น!N196"")+IMPORTRANGE(""https://docs.google.com/spreadsheets/d/1FvTu2DsIWUjP6WCWra38Bkj_oOl_sOMf14r5Fg5srxU/edit?usp=sharing"",""ชัยภูมิ!N196"")+IMPORTRANGE(""https://docs.google.com/spreadsheets/d/1XVB7oCJ3pr-vBUdflwPQ8Z2LlzhnCvZaaYjAfP-647E/edit"&amp;"?usp=sharing"",""นครพนม!N196"")+IMPORTRANGE(""https://docs.google.com/spreadsheets/d/1Mnpb-8PYAgn85W6KOTD40hc_Xc55CaLfHoGAbrZ8tls/edit?usp=sharing"",""นครราชสีมา!N196"")+IMPORTRANGE(""https://docs.google.com/spreadsheets/d/1xoDLGBv9CYbyosIhki0kTq6IpYNj-gp"&amp;"jxfobnaDiut0/edit?usp=sharing"",""บึงกาฬ!N196"")+IMPORTRANGE(""https://docs.google.com/spreadsheets/d/1MMPq-JyI6DSgQETxuSiXkesP-P7JHuemnE6QJIa-Nlw/edit?usp=sharing"",""บุรีรัมย์!N196"")+IMPORTRANGE(""https://docs.google.com/spreadsheets/d/1l6IZ8xUPgMrESzc"&amp;"TYwhA1k_tPjeQjJPTqlm8Gd9eU5g/edit?usp=sharing"",""มหาสารคาม!N196"")+IMPORTRANGE(""https://docs.google.com/spreadsheets/d/1uB74YLqNjWX6FObjekfB2NtSYigTQyR2rq9u4Ub2Sq4/edit?usp=sharing"",""มุกดาหาร!N196"")+IMPORTRANGE(""https://docs.google.com/spreadsheets/"&amp;"d/1NexK3geCPxCTO1fzNF8dPec7yZyUx3OaWkFBC9HsQOo/edit?usp=sharing"",""ยโสธร!N196"")+IMPORTRANGE(""https://docs.google.com/spreadsheets/d/1v_cJrbBlyqmnHPReHk44g9NrMRdENNlSy_E_c5M9fIg/edit?usp=sharing"",""ร้อยเอ็ด!N196"")+IMPORTRANGE(""https://docs.google.com"&amp;"/spreadsheets/d/1Ul4RCpCX66NxYADU1QpwAPjOmBzW64SsT11s1wzXw_c/edit?usp=sharing"",""เลย!N196"")+IMPORTRANGE(""https://docs.google.com/spreadsheets/d/1bRrNKwbHDVktQG10isr5vbWRtt5spIZPpkOSWgbT5ug/edit?usp=sharing"",""ศรีสะเกษ!N196"")+IMPORTRANGE(""https://doc"&amp;"s.google.com/spreadsheets/d/17P34_Ow5kFBfdQD0qspb2UuPX5zpi6WMrQzslghyvrI/edit?usp=sharing"",""สกลนคร!N196"")+IMPORTRANGE(""https://docs.google.com/spreadsheets/d/1yswqbM3-AEpThF3ZSUa1AcmHnmRTF1vlJ1CZGcJ8YuU/edit?usp=sharing"",""สุรินทร์!N196"")+IMPORTRANG"&amp;"E(""https://docs.google.com/spreadsheets/d/13JHU_EFbsQOUQ0JSQ3dWy1VTRosIWcDq6Nc99z2qzdc/edit?usp=sharing"",""หนองคาย!N196"")+IMPORTRANGE(""https://docs.google.com/spreadsheets/d/1Hx73zIEgVdDZZaYSTc46Dqv64atFhpr3GelxLbaIN8A/edit?usp=sharing"",""หนองบัวลำภู"&amp;"!N196"")+IMPORTRANGE(""https://docs.google.com/spreadsheets/d/1lFxr3ctmjFN90yc-xV6jrQ9Ty8BKYVBWnAZ15wcNIJc/edit?usp=sharing"",""อำนาจเจริญ!N196"")+IMPORTRANGE(""https://docs.google.com/spreadsheets/d/1gF7RJpRnL-1oyjyeWxs5SFWEH7y8ahOZsQlyp2A2e-A/edit?usp=s"&amp;"haring"",""อุดรธานี!N196"")+IMPORTRANGE(""https://docs.google.com/spreadsheets/d/1kfLP0j3INXRa8bTDpcEmoWewMBV61jlFlfzczfjWIgc/edit?usp=sharing"",""อุบลราชธานี!N196"")"),0)</f>
        <v>0</v>
      </c>
      <c r="O196" s="161">
        <f ca="1">IF(L196&gt;0,N196*100/L196,0)</f>
        <v>0</v>
      </c>
      <c r="P196" s="161"/>
    </row>
    <row r="197" spans="1:16" ht="19.5" x14ac:dyDescent="0.3">
      <c r="A197" s="167"/>
      <c r="B197" s="168"/>
      <c r="C197" s="158" t="s">
        <v>16</v>
      </c>
      <c r="D197" s="169" t="s">
        <v>36</v>
      </c>
      <c r="E197" s="170"/>
      <c r="F197" s="170"/>
      <c r="G197" s="171"/>
      <c r="H197" s="172"/>
      <c r="I197" s="57"/>
      <c r="J197" s="57"/>
      <c r="K197" s="58"/>
      <c r="L197" s="58"/>
      <c r="M197" s="58"/>
      <c r="N197" s="58"/>
      <c r="O197" s="58"/>
      <c r="P197" s="58"/>
    </row>
    <row r="198" spans="1:16" ht="18.75" x14ac:dyDescent="0.25">
      <c r="A198" s="167"/>
      <c r="B198" s="168"/>
      <c r="C198" s="168"/>
      <c r="D198" s="193" t="s">
        <v>74</v>
      </c>
      <c r="E198" s="174"/>
      <c r="F198" s="174"/>
      <c r="G198" s="172"/>
      <c r="H198" s="179" t="s">
        <v>73</v>
      </c>
      <c r="I198" s="194">
        <f ca="1">IFERROR(__xludf.DUMMYFUNCTION("IMPORTRANGE(""https://docs.google.com/spreadsheets/d/1yhBcrRPreicbMKl9Bu_Snb2-OcQAF62RKfhTLhJ2eAA/edit?usp=sharing"",""กาฬสินธุ์!I198"")+IMPORTRANGE(""https://docs.google.com/spreadsheets/d/1aHkj4IaQMThhwWwevcOymEh837vdxeC_PycurhTbGFA/edit?usp=sharing"","&amp;"""ขอนแก่น!I198"")+IMPORTRANGE(""https://docs.google.com/spreadsheets/d/1FvTu2DsIWUjP6WCWra38Bkj_oOl_sOMf14r5Fg5srxU/edit?usp=sharing"",""ชัยภูมิ!I198"")+IMPORTRANGE(""https://docs.google.com/spreadsheets/d/1XVB7oCJ3pr-vBUdflwPQ8Z2LlzhnCvZaaYjAfP-647E/edit"&amp;"?usp=sharing"",""นครพนม!I198"")+IMPORTRANGE(""https://docs.google.com/spreadsheets/d/1Mnpb-8PYAgn85W6KOTD40hc_Xc55CaLfHoGAbrZ8tls/edit?usp=sharing"",""นครราชสีมา!I198"")+IMPORTRANGE(""https://docs.google.com/spreadsheets/d/1xoDLGBv9CYbyosIhki0kTq6IpYNj-gp"&amp;"jxfobnaDiut0/edit?usp=sharing"",""บึงกาฬ!I198"")+IMPORTRANGE(""https://docs.google.com/spreadsheets/d/1MMPq-JyI6DSgQETxuSiXkesP-P7JHuemnE6QJIa-Nlw/edit?usp=sharing"",""บุรีรัมย์!I198"")+IMPORTRANGE(""https://docs.google.com/spreadsheets/d/1l6IZ8xUPgMrESzc"&amp;"TYwhA1k_tPjeQjJPTqlm8Gd9eU5g/edit?usp=sharing"",""มหาสารคาม!I198"")+IMPORTRANGE(""https://docs.google.com/spreadsheets/d/1uB74YLqNjWX6FObjekfB2NtSYigTQyR2rq9u4Ub2Sq4/edit?usp=sharing"",""มุกดาหาร!I198"")+IMPORTRANGE(""https://docs.google.com/spreadsheets/"&amp;"d/1NexK3geCPxCTO1fzNF8dPec7yZyUx3OaWkFBC9HsQOo/edit?usp=sharing"",""ยโสธร!I198"")+IMPORTRANGE(""https://docs.google.com/spreadsheets/d/1v_cJrbBlyqmnHPReHk44g9NrMRdENNlSy_E_c5M9fIg/edit?usp=sharing"",""ร้อยเอ็ด!I198"")+IMPORTRANGE(""https://docs.google.com"&amp;"/spreadsheets/d/1Ul4RCpCX66NxYADU1QpwAPjOmBzW64SsT11s1wzXw_c/edit?usp=sharing"",""เลย!I198"")+IMPORTRANGE(""https://docs.google.com/spreadsheets/d/1bRrNKwbHDVktQG10isr5vbWRtt5spIZPpkOSWgbT5ug/edit?usp=sharing"",""ศรีสะเกษ!I198"")+IMPORTRANGE(""https://doc"&amp;"s.google.com/spreadsheets/d/17P34_Ow5kFBfdQD0qspb2UuPX5zpi6WMrQzslghyvrI/edit?usp=sharing"",""สกลนคร!I198"")+IMPORTRANGE(""https://docs.google.com/spreadsheets/d/1yswqbM3-AEpThF3ZSUa1AcmHnmRTF1vlJ1CZGcJ8YuU/edit?usp=sharing"",""สุรินทร์!I198"")+IMPORTRANG"&amp;"E(""https://docs.google.com/spreadsheets/d/13JHU_EFbsQOUQ0JSQ3dWy1VTRosIWcDq6Nc99z2qzdc/edit?usp=sharing"",""หนองคาย!I198"")+IMPORTRANGE(""https://docs.google.com/spreadsheets/d/1Hx73zIEgVdDZZaYSTc46Dqv64atFhpr3GelxLbaIN8A/edit?usp=sharing"",""หนองบัวลำภู"&amp;"!I198"")+IMPORTRANGE(""https://docs.google.com/spreadsheets/d/1lFxr3ctmjFN90yc-xV6jrQ9Ty8BKYVBWnAZ15wcNIJc/edit?usp=sharing"",""อำนาจเจริญ!I198"")+IMPORTRANGE(""https://docs.google.com/spreadsheets/d/1gF7RJpRnL-1oyjyeWxs5SFWEH7y8ahOZsQlyp2A2e-A/edit?usp=s"&amp;"haring"",""อุดรธานี!I198"")+IMPORTRANGE(""https://docs.google.com/spreadsheets/d/1kfLP0j3INXRa8bTDpcEmoWewMBV61jlFlfzczfjWIgc/edit?usp=sharing"",""อุบลราชธานี!I198"")"),80)</f>
        <v>80</v>
      </c>
      <c r="J198" s="181">
        <f ca="1">IFERROR(__xludf.DUMMYFUNCTION("IMPORTRANGE(""https://docs.google.com/spreadsheets/d/1yhBcrRPreicbMKl9Bu_Snb2-OcQAF62RKfhTLhJ2eAA/edit?usp=sharing"",""กาฬสินธุ์!J198"")+IMPORTRANGE(""https://docs.google.com/spreadsheets/d/1aHkj4IaQMThhwWwevcOymEh837vdxeC_PycurhTbGFA/edit?usp=sharing"","&amp;"""ขอนแก่น!J198"")+IMPORTRANGE(""https://docs.google.com/spreadsheets/d/1FvTu2DsIWUjP6WCWra38Bkj_oOl_sOMf14r5Fg5srxU/edit?usp=sharing"",""ชัยภูมิ!J198"")+IMPORTRANGE(""https://docs.google.com/spreadsheets/d/1XVB7oCJ3pr-vBUdflwPQ8Z2LlzhnCvZaaYjAfP-647E/edit"&amp;"?usp=sharing"",""นครพนม!J198"")+IMPORTRANGE(""https://docs.google.com/spreadsheets/d/1Mnpb-8PYAgn85W6KOTD40hc_Xc55CaLfHoGAbrZ8tls/edit?usp=sharing"",""นครราชสีมา!J198"")+IMPORTRANGE(""https://docs.google.com/spreadsheets/d/1xoDLGBv9CYbyosIhki0kTq6IpYNj-gp"&amp;"jxfobnaDiut0/edit?usp=sharing"",""บึงกาฬ!J198"")+IMPORTRANGE(""https://docs.google.com/spreadsheets/d/1MMPq-JyI6DSgQETxuSiXkesP-P7JHuemnE6QJIa-Nlw/edit?usp=sharing"",""บุรีรัมย์!J198"")+IMPORTRANGE(""https://docs.google.com/spreadsheets/d/1l6IZ8xUPgMrESzc"&amp;"TYwhA1k_tPjeQjJPTqlm8Gd9eU5g/edit?usp=sharing"",""มหาสารคาม!J198"")+IMPORTRANGE(""https://docs.google.com/spreadsheets/d/1uB74YLqNjWX6FObjekfB2NtSYigTQyR2rq9u4Ub2Sq4/edit?usp=sharing"",""มุกดาหาร!J198"")+IMPORTRANGE(""https://docs.google.com/spreadsheets/"&amp;"d/1NexK3geCPxCTO1fzNF8dPec7yZyUx3OaWkFBC9HsQOo/edit?usp=sharing"",""ยโสธร!J198"")+IMPORTRANGE(""https://docs.google.com/spreadsheets/d/1v_cJrbBlyqmnHPReHk44g9NrMRdENNlSy_E_c5M9fIg/edit?usp=sharing"",""ร้อยเอ็ด!J198"")+IMPORTRANGE(""https://docs.google.com"&amp;"/spreadsheets/d/1Ul4RCpCX66NxYADU1QpwAPjOmBzW64SsT11s1wzXw_c/edit?usp=sharing"",""เลย!J198"")+IMPORTRANGE(""https://docs.google.com/spreadsheets/d/1bRrNKwbHDVktQG10isr5vbWRtt5spIZPpkOSWgbT5ug/edit?usp=sharing"",""ศรีสะเกษ!J198"")+IMPORTRANGE(""https://doc"&amp;"s.google.com/spreadsheets/d/17P34_Ow5kFBfdQD0qspb2UuPX5zpi6WMrQzslghyvrI/edit?usp=sharing"",""สกลนคร!J198"")+IMPORTRANGE(""https://docs.google.com/spreadsheets/d/1yswqbM3-AEpThF3ZSUa1AcmHnmRTF1vlJ1CZGcJ8YuU/edit?usp=sharing"",""สุรินทร์!J198"")+IMPORTRANG"&amp;"E(""https://docs.google.com/spreadsheets/d/13JHU_EFbsQOUQ0JSQ3dWy1VTRosIWcDq6Nc99z2qzdc/edit?usp=sharing"",""หนองคาย!J198"")+IMPORTRANGE(""https://docs.google.com/spreadsheets/d/1Hx73zIEgVdDZZaYSTc46Dqv64atFhpr3GelxLbaIN8A/edit?usp=sharing"",""หนองบัวลำภู"&amp;"!J198"")+IMPORTRANGE(""https://docs.google.com/spreadsheets/d/1lFxr3ctmjFN90yc-xV6jrQ9Ty8BKYVBWnAZ15wcNIJc/edit?usp=sharing"",""อำนาจเจริญ!J198"")+IMPORTRANGE(""https://docs.google.com/spreadsheets/d/1gF7RJpRnL-1oyjyeWxs5SFWEH7y8ahOZsQlyp2A2e-A/edit?usp=s"&amp;"haring"",""อุดรธานี!J198"")+IMPORTRANGE(""https://docs.google.com/spreadsheets/d/1kfLP0j3INXRa8bTDpcEmoWewMBV61jlFlfzczfjWIgc/edit?usp=sharing"",""อุบลราชธานี!J198"")"),4)</f>
        <v>4</v>
      </c>
      <c r="K198" s="59">
        <f ca="1">IF(I198&gt;0,J198*100/I198,0)</f>
        <v>5</v>
      </c>
      <c r="L198" s="58"/>
      <c r="M198" s="58"/>
      <c r="N198" s="58"/>
      <c r="O198" s="58"/>
      <c r="P198" s="58"/>
    </row>
    <row r="199" spans="1:16" ht="19.5" x14ac:dyDescent="0.3">
      <c r="A199" s="167"/>
      <c r="B199" s="168"/>
      <c r="C199" s="168"/>
      <c r="D199" s="193" t="s">
        <v>75</v>
      </c>
      <c r="E199" s="174"/>
      <c r="F199" s="174"/>
      <c r="G199" s="172"/>
      <c r="H199" s="290" t="s">
        <v>33</v>
      </c>
      <c r="I199" s="57"/>
      <c r="J199" s="176">
        <f ca="1">J200+J201</f>
        <v>62</v>
      </c>
      <c r="K199" s="58"/>
      <c r="L199" s="58"/>
      <c r="M199" s="58"/>
      <c r="N199" s="58"/>
      <c r="O199" s="58"/>
      <c r="P199" s="58"/>
    </row>
    <row r="200" spans="1:16" ht="18.75" x14ac:dyDescent="0.25">
      <c r="A200" s="167"/>
      <c r="B200" s="168"/>
      <c r="C200" s="168"/>
      <c r="D200" s="168"/>
      <c r="E200" s="193" t="s">
        <v>76</v>
      </c>
      <c r="F200" s="174"/>
      <c r="G200" s="172"/>
      <c r="H200" s="277" t="s">
        <v>33</v>
      </c>
      <c r="I200" s="57"/>
      <c r="J200" s="181">
        <f ca="1">IFERROR(__xludf.DUMMYFUNCTION("IMPORTRANGE(""https://docs.google.com/spreadsheets/d/1yhBcrRPreicbMKl9Bu_Snb2-OcQAF62RKfhTLhJ2eAA/edit?usp=sharing"",""กาฬสินธุ์!J200"")+IMPORTRANGE(""https://docs.google.com/spreadsheets/d/1aHkj4IaQMThhwWwevcOymEh837vdxeC_PycurhTbGFA/edit?usp=sharing"","&amp;"""ขอนแก่น!J200"")+IMPORTRANGE(""https://docs.google.com/spreadsheets/d/1FvTu2DsIWUjP6WCWra38Bkj_oOl_sOMf14r5Fg5srxU/edit?usp=sharing"",""ชัยภูมิ!J200"")+IMPORTRANGE(""https://docs.google.com/spreadsheets/d/1XVB7oCJ3pr-vBUdflwPQ8Z2LlzhnCvZaaYjAfP-647E/edit"&amp;"?usp=sharing"",""นครพนม!J200"")+IMPORTRANGE(""https://docs.google.com/spreadsheets/d/1Mnpb-8PYAgn85W6KOTD40hc_Xc55CaLfHoGAbrZ8tls/edit?usp=sharing"",""นครราชสีมา!J200"")+IMPORTRANGE(""https://docs.google.com/spreadsheets/d/1xoDLGBv9CYbyosIhki0kTq6IpYNj-gp"&amp;"jxfobnaDiut0/edit?usp=sharing"",""บึงกาฬ!J200"")+IMPORTRANGE(""https://docs.google.com/spreadsheets/d/1MMPq-JyI6DSgQETxuSiXkesP-P7JHuemnE6QJIa-Nlw/edit?usp=sharing"",""บุรีรัมย์!J200"")+IMPORTRANGE(""https://docs.google.com/spreadsheets/d/1l6IZ8xUPgMrESzc"&amp;"TYwhA1k_tPjeQjJPTqlm8Gd9eU5g/edit?usp=sharing"",""มหาสารคาม!J200"")+IMPORTRANGE(""https://docs.google.com/spreadsheets/d/1uB74YLqNjWX6FObjekfB2NtSYigTQyR2rq9u4Ub2Sq4/edit?usp=sharing"",""มุกดาหาร!J200"")+IMPORTRANGE(""https://docs.google.com/spreadsheets/"&amp;"d/1NexK3geCPxCTO1fzNF8dPec7yZyUx3OaWkFBC9HsQOo/edit?usp=sharing"",""ยโสธร!J200"")+IMPORTRANGE(""https://docs.google.com/spreadsheets/d/1v_cJrbBlyqmnHPReHk44g9NrMRdENNlSy_E_c5M9fIg/edit?usp=sharing"",""ร้อยเอ็ด!J200"")+IMPORTRANGE(""https://docs.google.com"&amp;"/spreadsheets/d/1Ul4RCpCX66NxYADU1QpwAPjOmBzW64SsT11s1wzXw_c/edit?usp=sharing"",""เลย!J200"")+IMPORTRANGE(""https://docs.google.com/spreadsheets/d/1bRrNKwbHDVktQG10isr5vbWRtt5spIZPpkOSWgbT5ug/edit?usp=sharing"",""ศรีสะเกษ!J200"")+IMPORTRANGE(""https://doc"&amp;"s.google.com/spreadsheets/d/17P34_Ow5kFBfdQD0qspb2UuPX5zpi6WMrQzslghyvrI/edit?usp=sharing"",""สกลนคร!J200"")+IMPORTRANGE(""https://docs.google.com/spreadsheets/d/1yswqbM3-AEpThF3ZSUa1AcmHnmRTF1vlJ1CZGcJ8YuU/edit?usp=sharing"",""สุรินทร์!J200"")+IMPORTRANG"&amp;"E(""https://docs.google.com/spreadsheets/d/13JHU_EFbsQOUQ0JSQ3dWy1VTRosIWcDq6Nc99z2qzdc/edit?usp=sharing"",""หนองคาย!J200"")+IMPORTRANGE(""https://docs.google.com/spreadsheets/d/1Hx73zIEgVdDZZaYSTc46Dqv64atFhpr3GelxLbaIN8A/edit?usp=sharing"",""หนองบัวลำภู"&amp;"!J200"")+IMPORTRANGE(""https://docs.google.com/spreadsheets/d/1lFxr3ctmjFN90yc-xV6jrQ9Ty8BKYVBWnAZ15wcNIJc/edit?usp=sharing"",""อำนาจเจริญ!J200"")+IMPORTRANGE(""https://docs.google.com/spreadsheets/d/1gF7RJpRnL-1oyjyeWxs5SFWEH7y8ahOZsQlyp2A2e-A/edit?usp=s"&amp;"haring"",""อุดรธานี!J200"")+IMPORTRANGE(""https://docs.google.com/spreadsheets/d/1kfLP0j3INXRa8bTDpcEmoWewMBV61jlFlfzczfjWIgc/edit?usp=sharing"",""อุบลราชธานี!J200"")"),62)</f>
        <v>62</v>
      </c>
      <c r="K200" s="58"/>
      <c r="L200" s="58"/>
      <c r="M200" s="58"/>
      <c r="N200" s="58"/>
      <c r="O200" s="58"/>
      <c r="P200" s="58"/>
    </row>
    <row r="201" spans="1:16" ht="18.75" x14ac:dyDescent="0.25">
      <c r="A201" s="167"/>
      <c r="B201" s="168"/>
      <c r="C201" s="168"/>
      <c r="D201" s="168"/>
      <c r="E201" s="193" t="s">
        <v>77</v>
      </c>
      <c r="F201" s="174"/>
      <c r="G201" s="172"/>
      <c r="H201" s="277" t="s">
        <v>33</v>
      </c>
      <c r="I201" s="57"/>
      <c r="J201" s="181">
        <f ca="1">IFERROR(__xludf.DUMMYFUNCTION("IMPORTRANGE(""https://docs.google.com/spreadsheets/d/1yhBcrRPreicbMKl9Bu_Snb2-OcQAF62RKfhTLhJ2eAA/edit?usp=sharing"",""กาฬสินธุ์!J201"")+IMPORTRANGE(""https://docs.google.com/spreadsheets/d/1aHkj4IaQMThhwWwevcOymEh837vdxeC_PycurhTbGFA/edit?usp=sharing"","&amp;"""ขอนแก่น!J201"")+IMPORTRANGE(""https://docs.google.com/spreadsheets/d/1FvTu2DsIWUjP6WCWra38Bkj_oOl_sOMf14r5Fg5srxU/edit?usp=sharing"",""ชัยภูมิ!J201"")+IMPORTRANGE(""https://docs.google.com/spreadsheets/d/1XVB7oCJ3pr-vBUdflwPQ8Z2LlzhnCvZaaYjAfP-647E/edit"&amp;"?usp=sharing"",""นครพนม!J201"")+IMPORTRANGE(""https://docs.google.com/spreadsheets/d/1Mnpb-8PYAgn85W6KOTD40hc_Xc55CaLfHoGAbrZ8tls/edit?usp=sharing"",""นครราชสีมา!J201"")+IMPORTRANGE(""https://docs.google.com/spreadsheets/d/1xoDLGBv9CYbyosIhki0kTq6IpYNj-gp"&amp;"jxfobnaDiut0/edit?usp=sharing"",""บึงกาฬ!J201"")+IMPORTRANGE(""https://docs.google.com/spreadsheets/d/1MMPq-JyI6DSgQETxuSiXkesP-P7JHuemnE6QJIa-Nlw/edit?usp=sharing"",""บุรีรัมย์!J201"")+IMPORTRANGE(""https://docs.google.com/spreadsheets/d/1l6IZ8xUPgMrESzc"&amp;"TYwhA1k_tPjeQjJPTqlm8Gd9eU5g/edit?usp=sharing"",""มหาสารคาม!J201"")+IMPORTRANGE(""https://docs.google.com/spreadsheets/d/1uB74YLqNjWX6FObjekfB2NtSYigTQyR2rq9u4Ub2Sq4/edit?usp=sharing"",""มุกดาหาร!J201"")+IMPORTRANGE(""https://docs.google.com/spreadsheets/"&amp;"d/1NexK3geCPxCTO1fzNF8dPec7yZyUx3OaWkFBC9HsQOo/edit?usp=sharing"",""ยโสธร!J201"")+IMPORTRANGE(""https://docs.google.com/spreadsheets/d/1v_cJrbBlyqmnHPReHk44g9NrMRdENNlSy_E_c5M9fIg/edit?usp=sharing"",""ร้อยเอ็ด!J201"")+IMPORTRANGE(""https://docs.google.com"&amp;"/spreadsheets/d/1Ul4RCpCX66NxYADU1QpwAPjOmBzW64SsT11s1wzXw_c/edit?usp=sharing"",""เลย!J201"")+IMPORTRANGE(""https://docs.google.com/spreadsheets/d/1bRrNKwbHDVktQG10isr5vbWRtt5spIZPpkOSWgbT5ug/edit?usp=sharing"",""ศรีสะเกษ!J201"")+IMPORTRANGE(""https://doc"&amp;"s.google.com/spreadsheets/d/17P34_Ow5kFBfdQD0qspb2UuPX5zpi6WMrQzslghyvrI/edit?usp=sharing"",""สกลนคร!J201"")+IMPORTRANGE(""https://docs.google.com/spreadsheets/d/1yswqbM3-AEpThF3ZSUa1AcmHnmRTF1vlJ1CZGcJ8YuU/edit?usp=sharing"",""สุรินทร์!J201"")+IMPORTRANG"&amp;"E(""https://docs.google.com/spreadsheets/d/13JHU_EFbsQOUQ0JSQ3dWy1VTRosIWcDq6Nc99z2qzdc/edit?usp=sharing"",""หนองคาย!J201"")+IMPORTRANGE(""https://docs.google.com/spreadsheets/d/1Hx73zIEgVdDZZaYSTc46Dqv64atFhpr3GelxLbaIN8A/edit?usp=sharing"",""หนองบัวลำภู"&amp;"!J201"")+IMPORTRANGE(""https://docs.google.com/spreadsheets/d/1lFxr3ctmjFN90yc-xV6jrQ9Ty8BKYVBWnAZ15wcNIJc/edit?usp=sharing"",""อำนาจเจริญ!J201"")+IMPORTRANGE(""https://docs.google.com/spreadsheets/d/1gF7RJpRnL-1oyjyeWxs5SFWEH7y8ahOZsQlyp2A2e-A/edit?usp=s"&amp;"haring"",""อุดรธานี!J201"")+IMPORTRANGE(""https://docs.google.com/spreadsheets/d/1kfLP0j3INXRa8bTDpcEmoWewMBV61jlFlfzczfjWIgc/edit?usp=sharing"",""อุบลราชธานี!J201"")"),0)</f>
        <v>0</v>
      </c>
      <c r="K201" s="58"/>
      <c r="L201" s="58"/>
      <c r="M201" s="58"/>
      <c r="N201" s="58"/>
      <c r="O201" s="58"/>
      <c r="P201" s="58"/>
    </row>
    <row r="202" spans="1:16" ht="19.5" x14ac:dyDescent="0.3">
      <c r="A202" s="279"/>
      <c r="B202" s="280"/>
      <c r="C202" s="281" t="s">
        <v>78</v>
      </c>
      <c r="D202" s="282"/>
      <c r="E202" s="282"/>
      <c r="F202" s="282"/>
      <c r="G202" s="283"/>
      <c r="H202" s="291" t="s">
        <v>79</v>
      </c>
      <c r="I202" s="285">
        <f t="shared" ref="I202:J202" ca="1" si="100">I209</f>
        <v>44</v>
      </c>
      <c r="J202" s="285">
        <f t="shared" ca="1" si="100"/>
        <v>0</v>
      </c>
      <c r="K202" s="286">
        <f ca="1">IF(I202&gt;0,J202*100/I202,0)</f>
        <v>0</v>
      </c>
      <c r="L202" s="287"/>
      <c r="M202" s="287"/>
      <c r="N202" s="287"/>
      <c r="O202" s="287"/>
      <c r="P202" s="287"/>
    </row>
    <row r="203" spans="1:16" ht="19.5" x14ac:dyDescent="0.3">
      <c r="A203" s="157"/>
      <c r="B203" s="53"/>
      <c r="C203" s="158" t="s">
        <v>16</v>
      </c>
      <c r="D203" s="288" t="s">
        <v>17</v>
      </c>
      <c r="E203" s="53"/>
      <c r="F203" s="53"/>
      <c r="G203" s="55"/>
      <c r="H203" s="289" t="s">
        <v>12</v>
      </c>
      <c r="I203" s="164"/>
      <c r="J203" s="164"/>
      <c r="K203" s="165"/>
      <c r="L203" s="161">
        <f ca="1">L204+L205+L206+L207</f>
        <v>610000</v>
      </c>
      <c r="M203" s="58"/>
      <c r="N203" s="161">
        <f ca="1">N204+N205+N206+N207</f>
        <v>0</v>
      </c>
      <c r="O203" s="161">
        <f ca="1">IF(L203&gt;0,N203*100/L203,0)</f>
        <v>0</v>
      </c>
      <c r="P203" s="161"/>
    </row>
    <row r="204" spans="1:16" ht="18.75" x14ac:dyDescent="0.25">
      <c r="A204" s="157"/>
      <c r="B204" s="278"/>
      <c r="C204" s="53"/>
      <c r="D204" s="292" t="s">
        <v>80</v>
      </c>
      <c r="E204" s="53"/>
      <c r="F204" s="53"/>
      <c r="G204" s="55"/>
      <c r="H204" s="163" t="s">
        <v>12</v>
      </c>
      <c r="I204" s="164"/>
      <c r="J204" s="164"/>
      <c r="K204" s="165"/>
      <c r="L204" s="59">
        <f ca="1">IFERROR(__xludf.DUMMYFUNCTION("IMPORTRANGE(""https://docs.google.com/spreadsheets/d/1yhBcrRPreicbMKl9Bu_Snb2-OcQAF62RKfhTLhJ2eAA/edit?usp=sharing"",""กาฬสินธุ์!L204"")+IMPORTRANGE(""https://docs.google.com/spreadsheets/d/1aHkj4IaQMThhwWwevcOymEh837vdxeC_PycurhTbGFA/edit?usp=sharing"","&amp;"""ขอนแก่น!L204"")+IMPORTRANGE(""https://docs.google.com/spreadsheets/d/1FvTu2DsIWUjP6WCWra38Bkj_oOl_sOMf14r5Fg5srxU/edit?usp=sharing"",""ชัยภูมิ!L204"")+IMPORTRANGE(""https://docs.google.com/spreadsheets/d/1XVB7oCJ3pr-vBUdflwPQ8Z2LlzhnCvZaaYjAfP-647E/edit"&amp;"?usp=sharing"",""นครพนม!L204"")+IMPORTRANGE(""https://docs.google.com/spreadsheets/d/1Mnpb-8PYAgn85W6KOTD40hc_Xc55CaLfHoGAbrZ8tls/edit?usp=sharing"",""นครราชสีมา!L204"")+IMPORTRANGE(""https://docs.google.com/spreadsheets/d/1xoDLGBv9CYbyosIhki0kTq6IpYNj-gp"&amp;"jxfobnaDiut0/edit?usp=sharing"",""บึงกาฬ!L204"")+IMPORTRANGE(""https://docs.google.com/spreadsheets/d/1MMPq-JyI6DSgQETxuSiXkesP-P7JHuemnE6QJIa-Nlw/edit?usp=sharing"",""บุรีรัมย์!L204"")+IMPORTRANGE(""https://docs.google.com/spreadsheets/d/1l6IZ8xUPgMrESzc"&amp;"TYwhA1k_tPjeQjJPTqlm8Gd9eU5g/edit?usp=sharing"",""มหาสารคาม!L204"")+IMPORTRANGE(""https://docs.google.com/spreadsheets/d/1uB74YLqNjWX6FObjekfB2NtSYigTQyR2rq9u4Ub2Sq4/edit?usp=sharing"",""มุกดาหาร!L204"")+IMPORTRANGE(""https://docs.google.com/spreadsheets/"&amp;"d/1NexK3geCPxCTO1fzNF8dPec7yZyUx3OaWkFBC9HsQOo/edit?usp=sharing"",""ยโสธร!L204"")+IMPORTRANGE(""https://docs.google.com/spreadsheets/d/1v_cJrbBlyqmnHPReHk44g9NrMRdENNlSy_E_c5M9fIg/edit?usp=sharing"",""ร้อยเอ็ด!L204"")+IMPORTRANGE(""https://docs.google.com"&amp;"/spreadsheets/d/1Ul4RCpCX66NxYADU1QpwAPjOmBzW64SsT11s1wzXw_c/edit?usp=sharing"",""เลย!L204"")+IMPORTRANGE(""https://docs.google.com/spreadsheets/d/1bRrNKwbHDVktQG10isr5vbWRtt5spIZPpkOSWgbT5ug/edit?usp=sharing"",""ศรีสะเกษ!L204"")+IMPORTRANGE(""https://doc"&amp;"s.google.com/spreadsheets/d/17P34_Ow5kFBfdQD0qspb2UuPX5zpi6WMrQzslghyvrI/edit?usp=sharing"",""สกลนคร!L204"")+IMPORTRANGE(""https://docs.google.com/spreadsheets/d/1yswqbM3-AEpThF3ZSUa1AcmHnmRTF1vlJ1CZGcJ8YuU/edit?usp=sharing"",""สุรินทร์!L204"")+IMPORTRANG"&amp;"E(""https://docs.google.com/spreadsheets/d/13JHU_EFbsQOUQ0JSQ3dWy1VTRosIWcDq6Nc99z2qzdc/edit?usp=sharing"",""หนองคาย!L204"")+IMPORTRANGE(""https://docs.google.com/spreadsheets/d/1Hx73zIEgVdDZZaYSTc46Dqv64atFhpr3GelxLbaIN8A/edit?usp=sharing"",""หนองบัวลำภู"&amp;"!L204"")+IMPORTRANGE(""https://docs.google.com/spreadsheets/d/1lFxr3ctmjFN90yc-xV6jrQ9Ty8BKYVBWnAZ15wcNIJc/edit?usp=sharing"",""อำนาจเจริญ!L204"")+IMPORTRANGE(""https://docs.google.com/spreadsheets/d/1gF7RJpRnL-1oyjyeWxs5SFWEH7y8ahOZsQlyp2A2e-A/edit?usp=s"&amp;"haring"",""อุดรธานี!L204"")+IMPORTRANGE(""https://docs.google.com/spreadsheets/d/1kfLP0j3INXRa8bTDpcEmoWewMBV61jlFlfzczfjWIgc/edit?usp=sharing"",""อุบลราชธานี!L204"")"),44000)</f>
        <v>44000</v>
      </c>
      <c r="M204" s="58"/>
      <c r="N204" s="59">
        <f ca="1">IFERROR(__xludf.DUMMYFUNCTION("IMPORTRANGE(""https://docs.google.com/spreadsheets/d/1yhBcrRPreicbMKl9Bu_Snb2-OcQAF62RKfhTLhJ2eAA/edit?usp=sharing"",""กาฬสินธุ์!N204"")+IMPORTRANGE(""https://docs.google.com/spreadsheets/d/1aHkj4IaQMThhwWwevcOymEh837vdxeC_PycurhTbGFA/edit?usp=sharing"","&amp;"""ขอนแก่น!N204"")+IMPORTRANGE(""https://docs.google.com/spreadsheets/d/1FvTu2DsIWUjP6WCWra38Bkj_oOl_sOMf14r5Fg5srxU/edit?usp=sharing"",""ชัยภูมิ!N204"")+IMPORTRANGE(""https://docs.google.com/spreadsheets/d/1XVB7oCJ3pr-vBUdflwPQ8Z2LlzhnCvZaaYjAfP-647E/edit"&amp;"?usp=sharing"",""นครพนม!N204"")+IMPORTRANGE(""https://docs.google.com/spreadsheets/d/1Mnpb-8PYAgn85W6KOTD40hc_Xc55CaLfHoGAbrZ8tls/edit?usp=sharing"",""นครราชสีมา!N204"")+IMPORTRANGE(""https://docs.google.com/spreadsheets/d/1xoDLGBv9CYbyosIhki0kTq6IpYNj-gp"&amp;"jxfobnaDiut0/edit?usp=sharing"",""บึงกาฬ!N204"")+IMPORTRANGE(""https://docs.google.com/spreadsheets/d/1MMPq-JyI6DSgQETxuSiXkesP-P7JHuemnE6QJIa-Nlw/edit?usp=sharing"",""บุรีรัมย์!N204"")+IMPORTRANGE(""https://docs.google.com/spreadsheets/d/1l6IZ8xUPgMrESzc"&amp;"TYwhA1k_tPjeQjJPTqlm8Gd9eU5g/edit?usp=sharing"",""มหาสารคาม!N204"")+IMPORTRANGE(""https://docs.google.com/spreadsheets/d/1uB74YLqNjWX6FObjekfB2NtSYigTQyR2rq9u4Ub2Sq4/edit?usp=sharing"",""มุกดาหาร!N204"")+IMPORTRANGE(""https://docs.google.com/spreadsheets/"&amp;"d/1NexK3geCPxCTO1fzNF8dPec7yZyUx3OaWkFBC9HsQOo/edit?usp=sharing"",""ยโสธร!N204"")+IMPORTRANGE(""https://docs.google.com/spreadsheets/d/1v_cJrbBlyqmnHPReHk44g9NrMRdENNlSy_E_c5M9fIg/edit?usp=sharing"",""ร้อยเอ็ด!N204"")+IMPORTRANGE(""https://docs.google.com"&amp;"/spreadsheets/d/1Ul4RCpCX66NxYADU1QpwAPjOmBzW64SsT11s1wzXw_c/edit?usp=sharing"",""เลย!N204"")+IMPORTRANGE(""https://docs.google.com/spreadsheets/d/1bRrNKwbHDVktQG10isr5vbWRtt5spIZPpkOSWgbT5ug/edit?usp=sharing"",""ศรีสะเกษ!N204"")+IMPORTRANGE(""https://doc"&amp;"s.google.com/spreadsheets/d/17P34_Ow5kFBfdQD0qspb2UuPX5zpi6WMrQzslghyvrI/edit?usp=sharing"",""สกลนคร!N204"")+IMPORTRANGE(""https://docs.google.com/spreadsheets/d/1yswqbM3-AEpThF3ZSUa1AcmHnmRTF1vlJ1CZGcJ8YuU/edit?usp=sharing"",""สุรินทร์!N204"")+IMPORTRANG"&amp;"E(""https://docs.google.com/spreadsheets/d/13JHU_EFbsQOUQ0JSQ3dWy1VTRosIWcDq6Nc99z2qzdc/edit?usp=sharing"",""หนองคาย!N204"")+IMPORTRANGE(""https://docs.google.com/spreadsheets/d/1Hx73zIEgVdDZZaYSTc46Dqv64atFhpr3GelxLbaIN8A/edit?usp=sharing"",""หนองบัวลำภู"&amp;"!N204"")+IMPORTRANGE(""https://docs.google.com/spreadsheets/d/1lFxr3ctmjFN90yc-xV6jrQ9Ty8BKYVBWnAZ15wcNIJc/edit?usp=sharing"",""อำนาจเจริญ!N204"")+IMPORTRANGE(""https://docs.google.com/spreadsheets/d/1gF7RJpRnL-1oyjyeWxs5SFWEH7y8ahOZsQlyp2A2e-A/edit?usp=s"&amp;"haring"",""อุดรธานี!N204"")+IMPORTRANGE(""https://docs.google.com/spreadsheets/d/1kfLP0j3INXRa8bTDpcEmoWewMBV61jlFlfzczfjWIgc/edit?usp=sharing"",""อุบลราชธานี!N204"")"),0)</f>
        <v>0</v>
      </c>
      <c r="O204" s="182"/>
      <c r="P204" s="58"/>
    </row>
    <row r="205" spans="1:16" ht="18.75" x14ac:dyDescent="0.25">
      <c r="A205" s="274"/>
      <c r="B205" s="278"/>
      <c r="C205" s="53"/>
      <c r="D205" s="293" t="s">
        <v>81</v>
      </c>
      <c r="E205" s="53"/>
      <c r="F205" s="53"/>
      <c r="G205" s="55"/>
      <c r="H205" s="56" t="s">
        <v>12</v>
      </c>
      <c r="I205" s="57"/>
      <c r="J205" s="57"/>
      <c r="K205" s="58"/>
      <c r="L205" s="61">
        <v>0</v>
      </c>
      <c r="M205" s="58"/>
      <c r="N205" s="61">
        <v>0</v>
      </c>
      <c r="O205" s="182"/>
      <c r="P205" s="58"/>
    </row>
    <row r="206" spans="1:16" ht="18.75" x14ac:dyDescent="0.25">
      <c r="A206" s="274"/>
      <c r="B206" s="278"/>
      <c r="C206" s="53"/>
      <c r="D206" s="293" t="s">
        <v>82</v>
      </c>
      <c r="E206" s="53"/>
      <c r="F206" s="53"/>
      <c r="G206" s="55"/>
      <c r="H206" s="56" t="s">
        <v>12</v>
      </c>
      <c r="I206" s="57"/>
      <c r="J206" s="57"/>
      <c r="K206" s="58"/>
      <c r="L206" s="59">
        <f ca="1">IFERROR(__xludf.DUMMYFUNCTION("IMPORTRANGE(""https://docs.google.com/spreadsheets/d/1yhBcrRPreicbMKl9Bu_Snb2-OcQAF62RKfhTLhJ2eAA/edit?usp=sharing"",""กาฬสินธุ์!L206"")+IMPORTRANGE(""https://docs.google.com/spreadsheets/d/1aHkj4IaQMThhwWwevcOymEh837vdxeC_PycurhTbGFA/edit?usp=sharing"","&amp;"""ขอนแก่น!L206"")+IMPORTRANGE(""https://docs.google.com/spreadsheets/d/1FvTu2DsIWUjP6WCWra38Bkj_oOl_sOMf14r5Fg5srxU/edit?usp=sharing"",""ชัยภูมิ!L206"")+IMPORTRANGE(""https://docs.google.com/spreadsheets/d/1XVB7oCJ3pr-vBUdflwPQ8Z2LlzhnCvZaaYjAfP-647E/edit"&amp;"?usp=sharing"",""นครพนม!L206"")+IMPORTRANGE(""https://docs.google.com/spreadsheets/d/1Mnpb-8PYAgn85W6KOTD40hc_Xc55CaLfHoGAbrZ8tls/edit?usp=sharing"",""นครราชสีมา!L206"")+IMPORTRANGE(""https://docs.google.com/spreadsheets/d/1xoDLGBv9CYbyosIhki0kTq6IpYNj-gp"&amp;"jxfobnaDiut0/edit?usp=sharing"",""บึงกาฬ!L206"")+IMPORTRANGE(""https://docs.google.com/spreadsheets/d/1MMPq-JyI6DSgQETxuSiXkesP-P7JHuemnE6QJIa-Nlw/edit?usp=sharing"",""บุรีรัมย์!L206"")+IMPORTRANGE(""https://docs.google.com/spreadsheets/d/1l6IZ8xUPgMrESzc"&amp;"TYwhA1k_tPjeQjJPTqlm8Gd9eU5g/edit?usp=sharing"",""มหาสารคาม!L206"")+IMPORTRANGE(""https://docs.google.com/spreadsheets/d/1uB74YLqNjWX6FObjekfB2NtSYigTQyR2rq9u4Ub2Sq4/edit?usp=sharing"",""มุกดาหาร!L206"")+IMPORTRANGE(""https://docs.google.com/spreadsheets/"&amp;"d/1NexK3geCPxCTO1fzNF8dPec7yZyUx3OaWkFBC9HsQOo/edit?usp=sharing"",""ยโสธร!L206"")+IMPORTRANGE(""https://docs.google.com/spreadsheets/d/1v_cJrbBlyqmnHPReHk44g9NrMRdENNlSy_E_c5M9fIg/edit?usp=sharing"",""ร้อยเอ็ด!L206"")+IMPORTRANGE(""https://docs.google.com"&amp;"/spreadsheets/d/1Ul4RCpCX66NxYADU1QpwAPjOmBzW64SsT11s1wzXw_c/edit?usp=sharing"",""เลย!L206"")+IMPORTRANGE(""https://docs.google.com/spreadsheets/d/1bRrNKwbHDVktQG10isr5vbWRtt5spIZPpkOSWgbT5ug/edit?usp=sharing"",""ศรีสะเกษ!L206"")+IMPORTRANGE(""https://doc"&amp;"s.google.com/spreadsheets/d/17P34_Ow5kFBfdQD0qspb2UuPX5zpi6WMrQzslghyvrI/edit?usp=sharing"",""สกลนคร!L206"")+IMPORTRANGE(""https://docs.google.com/spreadsheets/d/1yswqbM3-AEpThF3ZSUa1AcmHnmRTF1vlJ1CZGcJ8YuU/edit?usp=sharing"",""สุรินทร์!L206"")+IMPORTRANG"&amp;"E(""https://docs.google.com/spreadsheets/d/13JHU_EFbsQOUQ0JSQ3dWy1VTRosIWcDq6Nc99z2qzdc/edit?usp=sharing"",""หนองคาย!L206"")+IMPORTRANGE(""https://docs.google.com/spreadsheets/d/1Hx73zIEgVdDZZaYSTc46Dqv64atFhpr3GelxLbaIN8A/edit?usp=sharing"",""หนองบัวลำภู"&amp;"!L206"")+IMPORTRANGE(""https://docs.google.com/spreadsheets/d/1lFxr3ctmjFN90yc-xV6jrQ9Ty8BKYVBWnAZ15wcNIJc/edit?usp=sharing"",""อำนาจเจริญ!L206"")+IMPORTRANGE(""https://docs.google.com/spreadsheets/d/1gF7RJpRnL-1oyjyeWxs5SFWEH7y8ahOZsQlyp2A2e-A/edit?usp=s"&amp;"haring"",""อุดรธานี!L206"")+IMPORTRANGE(""https://docs.google.com/spreadsheets/d/1kfLP0j3INXRa8bTDpcEmoWewMBV61jlFlfzczfjWIgc/edit?usp=sharing"",""อุบลราชธานี!L206"")"),352000)</f>
        <v>352000</v>
      </c>
      <c r="M206" s="58"/>
      <c r="N206" s="59">
        <f ca="1">IFERROR(__xludf.DUMMYFUNCTION("IMPORTRANGE(""https://docs.google.com/spreadsheets/d/1yhBcrRPreicbMKl9Bu_Snb2-OcQAF62RKfhTLhJ2eAA/edit?usp=sharing"",""กาฬสินธุ์!N206"")+IMPORTRANGE(""https://docs.google.com/spreadsheets/d/1aHkj4IaQMThhwWwevcOymEh837vdxeC_PycurhTbGFA/edit?usp=sharing"","&amp;"""ขอนแก่น!N206"")+IMPORTRANGE(""https://docs.google.com/spreadsheets/d/1FvTu2DsIWUjP6WCWra38Bkj_oOl_sOMf14r5Fg5srxU/edit?usp=sharing"",""ชัยภูมิ!N206"")+IMPORTRANGE(""https://docs.google.com/spreadsheets/d/1XVB7oCJ3pr-vBUdflwPQ8Z2LlzhnCvZaaYjAfP-647E/edit"&amp;"?usp=sharing"",""นครพนม!N206"")+IMPORTRANGE(""https://docs.google.com/spreadsheets/d/1Mnpb-8PYAgn85W6KOTD40hc_Xc55CaLfHoGAbrZ8tls/edit?usp=sharing"",""นครราชสีมา!N206"")+IMPORTRANGE(""https://docs.google.com/spreadsheets/d/1xoDLGBv9CYbyosIhki0kTq6IpYNj-gp"&amp;"jxfobnaDiut0/edit?usp=sharing"",""บึงกาฬ!N206"")+IMPORTRANGE(""https://docs.google.com/spreadsheets/d/1MMPq-JyI6DSgQETxuSiXkesP-P7JHuemnE6QJIa-Nlw/edit?usp=sharing"",""บุรีรัมย์!N206"")+IMPORTRANGE(""https://docs.google.com/spreadsheets/d/1l6IZ8xUPgMrESzc"&amp;"TYwhA1k_tPjeQjJPTqlm8Gd9eU5g/edit?usp=sharing"",""มหาสารคาม!N206"")+IMPORTRANGE(""https://docs.google.com/spreadsheets/d/1uB74YLqNjWX6FObjekfB2NtSYigTQyR2rq9u4Ub2Sq4/edit?usp=sharing"",""มุกดาหาร!N206"")+IMPORTRANGE(""https://docs.google.com/spreadsheets/"&amp;"d/1NexK3geCPxCTO1fzNF8dPec7yZyUx3OaWkFBC9HsQOo/edit?usp=sharing"",""ยโสธร!N206"")+IMPORTRANGE(""https://docs.google.com/spreadsheets/d/1v_cJrbBlyqmnHPReHk44g9NrMRdENNlSy_E_c5M9fIg/edit?usp=sharing"",""ร้อยเอ็ด!N206"")+IMPORTRANGE(""https://docs.google.com"&amp;"/spreadsheets/d/1Ul4RCpCX66NxYADU1QpwAPjOmBzW64SsT11s1wzXw_c/edit?usp=sharing"",""เลย!N206"")+IMPORTRANGE(""https://docs.google.com/spreadsheets/d/1bRrNKwbHDVktQG10isr5vbWRtt5spIZPpkOSWgbT5ug/edit?usp=sharing"",""ศรีสะเกษ!N206"")+IMPORTRANGE(""https://doc"&amp;"s.google.com/spreadsheets/d/17P34_Ow5kFBfdQD0qspb2UuPX5zpi6WMrQzslghyvrI/edit?usp=sharing"",""สกลนคร!N206"")+IMPORTRANGE(""https://docs.google.com/spreadsheets/d/1yswqbM3-AEpThF3ZSUa1AcmHnmRTF1vlJ1CZGcJ8YuU/edit?usp=sharing"",""สุรินทร์!N206"")+IMPORTRANG"&amp;"E(""https://docs.google.com/spreadsheets/d/13JHU_EFbsQOUQ0JSQ3dWy1VTRosIWcDq6Nc99z2qzdc/edit?usp=sharing"",""หนองคาย!N206"")+IMPORTRANGE(""https://docs.google.com/spreadsheets/d/1Hx73zIEgVdDZZaYSTc46Dqv64atFhpr3GelxLbaIN8A/edit?usp=sharing"",""หนองบัวลำภู"&amp;"!N206"")+IMPORTRANGE(""https://docs.google.com/spreadsheets/d/1lFxr3ctmjFN90yc-xV6jrQ9Ty8BKYVBWnAZ15wcNIJc/edit?usp=sharing"",""อำนาจเจริญ!N206"")+IMPORTRANGE(""https://docs.google.com/spreadsheets/d/1gF7RJpRnL-1oyjyeWxs5SFWEH7y8ahOZsQlyp2A2e-A/edit?usp=s"&amp;"haring"",""อุดรธานี!N206"")+IMPORTRANGE(""https://docs.google.com/spreadsheets/d/1kfLP0j3INXRa8bTDpcEmoWewMBV61jlFlfzczfjWIgc/edit?usp=sharing"",""อุบลราชธานี!N206"")"),0)</f>
        <v>0</v>
      </c>
      <c r="O206" s="182"/>
      <c r="P206" s="58"/>
    </row>
    <row r="207" spans="1:16" ht="18.75" x14ac:dyDescent="0.25">
      <c r="A207" s="274"/>
      <c r="B207" s="278"/>
      <c r="C207" s="53"/>
      <c r="D207" s="293" t="s">
        <v>83</v>
      </c>
      <c r="E207" s="53"/>
      <c r="F207" s="53"/>
      <c r="G207" s="55"/>
      <c r="H207" s="56" t="s">
        <v>12</v>
      </c>
      <c r="I207" s="57"/>
      <c r="J207" s="57"/>
      <c r="K207" s="58"/>
      <c r="L207" s="59">
        <f ca="1">IFERROR(__xludf.DUMMYFUNCTION("IMPORTRANGE(""https://docs.google.com/spreadsheets/d/1yhBcrRPreicbMKl9Bu_Snb2-OcQAF62RKfhTLhJ2eAA/edit?usp=sharing"",""กาฬสินธุ์!L207"")+IMPORTRANGE(""https://docs.google.com/spreadsheets/d/1aHkj4IaQMThhwWwevcOymEh837vdxeC_PycurhTbGFA/edit?usp=sharing"","&amp;"""ขอนแก่น!L207"")+IMPORTRANGE(""https://docs.google.com/spreadsheets/d/1FvTu2DsIWUjP6WCWra38Bkj_oOl_sOMf14r5Fg5srxU/edit?usp=sharing"",""ชัยภูมิ!L207"")+IMPORTRANGE(""https://docs.google.com/spreadsheets/d/1XVB7oCJ3pr-vBUdflwPQ8Z2LlzhnCvZaaYjAfP-647E/edit"&amp;"?usp=sharing"",""นครพนม!L207"")+IMPORTRANGE(""https://docs.google.com/spreadsheets/d/1Mnpb-8PYAgn85W6KOTD40hc_Xc55CaLfHoGAbrZ8tls/edit?usp=sharing"",""นครราชสีมา!L207"")+IMPORTRANGE(""https://docs.google.com/spreadsheets/d/1xoDLGBv9CYbyosIhki0kTq6IpYNj-gp"&amp;"jxfobnaDiut0/edit?usp=sharing"",""บึงกาฬ!L207"")+IMPORTRANGE(""https://docs.google.com/spreadsheets/d/1MMPq-JyI6DSgQETxuSiXkesP-P7JHuemnE6QJIa-Nlw/edit?usp=sharing"",""บุรีรัมย์!L207"")+IMPORTRANGE(""https://docs.google.com/spreadsheets/d/1l6IZ8xUPgMrESzc"&amp;"TYwhA1k_tPjeQjJPTqlm8Gd9eU5g/edit?usp=sharing"",""มหาสารคาม!L207"")+IMPORTRANGE(""https://docs.google.com/spreadsheets/d/1uB74YLqNjWX6FObjekfB2NtSYigTQyR2rq9u4Ub2Sq4/edit?usp=sharing"",""มุกดาหาร!L207"")+IMPORTRANGE(""https://docs.google.com/spreadsheets/"&amp;"d/1NexK3geCPxCTO1fzNF8dPec7yZyUx3OaWkFBC9HsQOo/edit?usp=sharing"",""ยโสธร!L207"")+IMPORTRANGE(""https://docs.google.com/spreadsheets/d/1v_cJrbBlyqmnHPReHk44g9NrMRdENNlSy_E_c5M9fIg/edit?usp=sharing"",""ร้อยเอ็ด!L207"")+IMPORTRANGE(""https://docs.google.com"&amp;"/spreadsheets/d/1Ul4RCpCX66NxYADU1QpwAPjOmBzW64SsT11s1wzXw_c/edit?usp=sharing"",""เลย!L207"")+IMPORTRANGE(""https://docs.google.com/spreadsheets/d/1bRrNKwbHDVktQG10isr5vbWRtt5spIZPpkOSWgbT5ug/edit?usp=sharing"",""ศรีสะเกษ!L207"")+IMPORTRANGE(""https://doc"&amp;"s.google.com/spreadsheets/d/17P34_Ow5kFBfdQD0qspb2UuPX5zpi6WMrQzslghyvrI/edit?usp=sharing"",""สกลนคร!L207"")+IMPORTRANGE(""https://docs.google.com/spreadsheets/d/1yswqbM3-AEpThF3ZSUa1AcmHnmRTF1vlJ1CZGcJ8YuU/edit?usp=sharing"",""สุรินทร์!L207"")+IMPORTRANG"&amp;"E(""https://docs.google.com/spreadsheets/d/13JHU_EFbsQOUQ0JSQ3dWy1VTRosIWcDq6Nc99z2qzdc/edit?usp=sharing"",""หนองคาย!L207"")+IMPORTRANGE(""https://docs.google.com/spreadsheets/d/1Hx73zIEgVdDZZaYSTc46Dqv64atFhpr3GelxLbaIN8A/edit?usp=sharing"",""หนองบัวลำภู"&amp;"!L207"")+IMPORTRANGE(""https://docs.google.com/spreadsheets/d/1lFxr3ctmjFN90yc-xV6jrQ9Ty8BKYVBWnAZ15wcNIJc/edit?usp=sharing"",""อำนาจเจริญ!L207"")+IMPORTRANGE(""https://docs.google.com/spreadsheets/d/1gF7RJpRnL-1oyjyeWxs5SFWEH7y8ahOZsQlyp2A2e-A/edit?usp=s"&amp;"haring"",""อุดรธานี!L207"")+IMPORTRANGE(""https://docs.google.com/spreadsheets/d/1kfLP0j3INXRa8bTDpcEmoWewMBV61jlFlfzczfjWIgc/edit?usp=sharing"",""อุบลราชธานี!L207"")"),214000)</f>
        <v>214000</v>
      </c>
      <c r="M207" s="58"/>
      <c r="N207" s="59">
        <f ca="1">IFERROR(__xludf.DUMMYFUNCTION("IMPORTRANGE(""https://docs.google.com/spreadsheets/d/1yhBcrRPreicbMKl9Bu_Snb2-OcQAF62RKfhTLhJ2eAA/edit?usp=sharing"",""กาฬสินธุ์!N207"")+IMPORTRANGE(""https://docs.google.com/spreadsheets/d/1aHkj4IaQMThhwWwevcOymEh837vdxeC_PycurhTbGFA/edit?usp=sharing"","&amp;"""ขอนแก่น!N207"")+IMPORTRANGE(""https://docs.google.com/spreadsheets/d/1FvTu2DsIWUjP6WCWra38Bkj_oOl_sOMf14r5Fg5srxU/edit?usp=sharing"",""ชัยภูมิ!N207"")+IMPORTRANGE(""https://docs.google.com/spreadsheets/d/1XVB7oCJ3pr-vBUdflwPQ8Z2LlzhnCvZaaYjAfP-647E/edit"&amp;"?usp=sharing"",""นครพนม!N207"")+IMPORTRANGE(""https://docs.google.com/spreadsheets/d/1Mnpb-8PYAgn85W6KOTD40hc_Xc55CaLfHoGAbrZ8tls/edit?usp=sharing"",""นครราชสีมา!N207"")+IMPORTRANGE(""https://docs.google.com/spreadsheets/d/1xoDLGBv9CYbyosIhki0kTq6IpYNj-gp"&amp;"jxfobnaDiut0/edit?usp=sharing"",""บึงกาฬ!N207"")+IMPORTRANGE(""https://docs.google.com/spreadsheets/d/1MMPq-JyI6DSgQETxuSiXkesP-P7JHuemnE6QJIa-Nlw/edit?usp=sharing"",""บุรีรัมย์!N207"")+IMPORTRANGE(""https://docs.google.com/spreadsheets/d/1l6IZ8xUPgMrESzc"&amp;"TYwhA1k_tPjeQjJPTqlm8Gd9eU5g/edit?usp=sharing"",""มหาสารคาม!N207"")+IMPORTRANGE(""https://docs.google.com/spreadsheets/d/1uB74YLqNjWX6FObjekfB2NtSYigTQyR2rq9u4Ub2Sq4/edit?usp=sharing"",""มุกดาหาร!N207"")+IMPORTRANGE(""https://docs.google.com/spreadsheets/"&amp;"d/1NexK3geCPxCTO1fzNF8dPec7yZyUx3OaWkFBC9HsQOo/edit?usp=sharing"",""ยโสธร!N207"")+IMPORTRANGE(""https://docs.google.com/spreadsheets/d/1v_cJrbBlyqmnHPReHk44g9NrMRdENNlSy_E_c5M9fIg/edit?usp=sharing"",""ร้อยเอ็ด!N207"")+IMPORTRANGE(""https://docs.google.com"&amp;"/spreadsheets/d/1Ul4RCpCX66NxYADU1QpwAPjOmBzW64SsT11s1wzXw_c/edit?usp=sharing"",""เลย!N207"")+IMPORTRANGE(""https://docs.google.com/spreadsheets/d/1bRrNKwbHDVktQG10isr5vbWRtt5spIZPpkOSWgbT5ug/edit?usp=sharing"",""ศรีสะเกษ!N207"")+IMPORTRANGE(""https://doc"&amp;"s.google.com/spreadsheets/d/17P34_Ow5kFBfdQD0qspb2UuPX5zpi6WMrQzslghyvrI/edit?usp=sharing"",""สกลนคร!N207"")+IMPORTRANGE(""https://docs.google.com/spreadsheets/d/1yswqbM3-AEpThF3ZSUa1AcmHnmRTF1vlJ1CZGcJ8YuU/edit?usp=sharing"",""สุรินทร์!N207"")+IMPORTRANG"&amp;"E(""https://docs.google.com/spreadsheets/d/13JHU_EFbsQOUQ0JSQ3dWy1VTRosIWcDq6Nc99z2qzdc/edit?usp=sharing"",""หนองคาย!N207"")+IMPORTRANGE(""https://docs.google.com/spreadsheets/d/1Hx73zIEgVdDZZaYSTc46Dqv64atFhpr3GelxLbaIN8A/edit?usp=sharing"",""หนองบัวลำภู"&amp;"!N207"")+IMPORTRANGE(""https://docs.google.com/spreadsheets/d/1lFxr3ctmjFN90yc-xV6jrQ9Ty8BKYVBWnAZ15wcNIJc/edit?usp=sharing"",""อำนาจเจริญ!N207"")+IMPORTRANGE(""https://docs.google.com/spreadsheets/d/1gF7RJpRnL-1oyjyeWxs5SFWEH7y8ahOZsQlyp2A2e-A/edit?usp=s"&amp;"haring"",""อุดรธานี!N207"")+IMPORTRANGE(""https://docs.google.com/spreadsheets/d/1kfLP0j3INXRa8bTDpcEmoWewMBV61jlFlfzczfjWIgc/edit?usp=sharing"",""อุบลราชธานี!N207"")"),0)</f>
        <v>0</v>
      </c>
      <c r="O207" s="182"/>
      <c r="P207" s="58"/>
    </row>
    <row r="208" spans="1:16" ht="19.5" x14ac:dyDescent="0.3">
      <c r="A208" s="167"/>
      <c r="B208" s="168"/>
      <c r="C208" s="158" t="s">
        <v>16</v>
      </c>
      <c r="D208" s="169" t="s">
        <v>36</v>
      </c>
      <c r="E208" s="170"/>
      <c r="F208" s="170"/>
      <c r="G208" s="171"/>
      <c r="H208" s="172"/>
      <c r="I208" s="164"/>
      <c r="J208" s="164"/>
      <c r="K208" s="165"/>
      <c r="L208" s="165"/>
      <c r="M208" s="165"/>
      <c r="N208" s="165"/>
      <c r="O208" s="165"/>
      <c r="P208" s="165"/>
    </row>
    <row r="209" spans="1:16" ht="18.75" x14ac:dyDescent="0.25">
      <c r="A209" s="167"/>
      <c r="B209" s="168"/>
      <c r="C209" s="168"/>
      <c r="D209" s="173" t="s">
        <v>84</v>
      </c>
      <c r="E209" s="174"/>
      <c r="F209" s="174"/>
      <c r="G209" s="172"/>
      <c r="H209" s="294" t="s">
        <v>79</v>
      </c>
      <c r="I209" s="194">
        <f ca="1">IFERROR(__xludf.DUMMYFUNCTION("IMPORTRANGE(""https://docs.google.com/spreadsheets/d/1yhBcrRPreicbMKl9Bu_Snb2-OcQAF62RKfhTLhJ2eAA/edit?usp=sharing"",""กาฬสินธุ์!I209"")+IMPORTRANGE(""https://docs.google.com/spreadsheets/d/1aHkj4IaQMThhwWwevcOymEh837vdxeC_PycurhTbGFA/edit?usp=sharing"","&amp;"""ขอนแก่น!I209"")+IMPORTRANGE(""https://docs.google.com/spreadsheets/d/1FvTu2DsIWUjP6WCWra38Bkj_oOl_sOMf14r5Fg5srxU/edit?usp=sharing"",""ชัยภูมิ!I209"")+IMPORTRANGE(""https://docs.google.com/spreadsheets/d/1XVB7oCJ3pr-vBUdflwPQ8Z2LlzhnCvZaaYjAfP-647E/edit"&amp;"?usp=sharing"",""นครพนม!I209"")+IMPORTRANGE(""https://docs.google.com/spreadsheets/d/1Mnpb-8PYAgn85W6KOTD40hc_Xc55CaLfHoGAbrZ8tls/edit?usp=sharing"",""นครราชสีมา!I209"")+IMPORTRANGE(""https://docs.google.com/spreadsheets/d/1xoDLGBv9CYbyosIhki0kTq6IpYNj-gp"&amp;"jxfobnaDiut0/edit?usp=sharing"",""บึงกาฬ!I209"")+IMPORTRANGE(""https://docs.google.com/spreadsheets/d/1MMPq-JyI6DSgQETxuSiXkesP-P7JHuemnE6QJIa-Nlw/edit?usp=sharing"",""บุรีรัมย์!I209"")+IMPORTRANGE(""https://docs.google.com/spreadsheets/d/1l6IZ8xUPgMrESzc"&amp;"TYwhA1k_tPjeQjJPTqlm8Gd9eU5g/edit?usp=sharing"",""มหาสารคาม!I209"")+IMPORTRANGE(""https://docs.google.com/spreadsheets/d/1uB74YLqNjWX6FObjekfB2NtSYigTQyR2rq9u4Ub2Sq4/edit?usp=sharing"",""มุกดาหาร!I209"")+IMPORTRANGE(""https://docs.google.com/spreadsheets/"&amp;"d/1NexK3geCPxCTO1fzNF8dPec7yZyUx3OaWkFBC9HsQOo/edit?usp=sharing"",""ยโสธร!I209"")+IMPORTRANGE(""https://docs.google.com/spreadsheets/d/1v_cJrbBlyqmnHPReHk44g9NrMRdENNlSy_E_c5M9fIg/edit?usp=sharing"",""ร้อยเอ็ด!I209"")+IMPORTRANGE(""https://docs.google.com"&amp;"/spreadsheets/d/1Ul4RCpCX66NxYADU1QpwAPjOmBzW64SsT11s1wzXw_c/edit?usp=sharing"",""เลย!I209"")+IMPORTRANGE(""https://docs.google.com/spreadsheets/d/1bRrNKwbHDVktQG10isr5vbWRtt5spIZPpkOSWgbT5ug/edit?usp=sharing"",""ศรีสะเกษ!I209"")+IMPORTRANGE(""https://doc"&amp;"s.google.com/spreadsheets/d/17P34_Ow5kFBfdQD0qspb2UuPX5zpi6WMrQzslghyvrI/edit?usp=sharing"",""สกลนคร!I209"")+IMPORTRANGE(""https://docs.google.com/spreadsheets/d/1yswqbM3-AEpThF3ZSUa1AcmHnmRTF1vlJ1CZGcJ8YuU/edit?usp=sharing"",""สุรินทร์!I209"")+IMPORTRANG"&amp;"E(""https://docs.google.com/spreadsheets/d/13JHU_EFbsQOUQ0JSQ3dWy1VTRosIWcDq6Nc99z2qzdc/edit?usp=sharing"",""หนองคาย!I209"")+IMPORTRANGE(""https://docs.google.com/spreadsheets/d/1Hx73zIEgVdDZZaYSTc46Dqv64atFhpr3GelxLbaIN8A/edit?usp=sharing"",""หนองบัวลำภู"&amp;"!I209"")+IMPORTRANGE(""https://docs.google.com/spreadsheets/d/1lFxr3ctmjFN90yc-xV6jrQ9Ty8BKYVBWnAZ15wcNIJc/edit?usp=sharing"",""อำนาจเจริญ!I209"")+IMPORTRANGE(""https://docs.google.com/spreadsheets/d/1gF7RJpRnL-1oyjyeWxs5SFWEH7y8ahOZsQlyp2A2e-A/edit?usp=s"&amp;"haring"",""อุดรธานี!I209"")+IMPORTRANGE(""https://docs.google.com/spreadsheets/d/1kfLP0j3INXRa8bTDpcEmoWewMBV61jlFlfzczfjWIgc/edit?usp=sharing"",""อุบลราชธานี!I209"")"),44)</f>
        <v>44</v>
      </c>
      <c r="J209" s="181">
        <f ca="1">IFERROR(__xludf.DUMMYFUNCTION("IMPORTRANGE(""https://docs.google.com/spreadsheets/d/1yhBcrRPreicbMKl9Bu_Snb2-OcQAF62RKfhTLhJ2eAA/edit?usp=sharing"",""กาฬสินธุ์!J209"")+IMPORTRANGE(""https://docs.google.com/spreadsheets/d/1aHkj4IaQMThhwWwevcOymEh837vdxeC_PycurhTbGFA/edit?usp=sharing"","&amp;"""ขอนแก่น!J209"")+IMPORTRANGE(""https://docs.google.com/spreadsheets/d/1FvTu2DsIWUjP6WCWra38Bkj_oOl_sOMf14r5Fg5srxU/edit?usp=sharing"",""ชัยภูมิ!J209"")+IMPORTRANGE(""https://docs.google.com/spreadsheets/d/1XVB7oCJ3pr-vBUdflwPQ8Z2LlzhnCvZaaYjAfP-647E/edit"&amp;"?usp=sharing"",""นครพนม!J209"")+IMPORTRANGE(""https://docs.google.com/spreadsheets/d/1Mnpb-8PYAgn85W6KOTD40hc_Xc55CaLfHoGAbrZ8tls/edit?usp=sharing"",""นครราชสีมา!J209"")+IMPORTRANGE(""https://docs.google.com/spreadsheets/d/1xoDLGBv9CYbyosIhki0kTq6IpYNj-gp"&amp;"jxfobnaDiut0/edit?usp=sharing"",""บึงกาฬ!J209"")+IMPORTRANGE(""https://docs.google.com/spreadsheets/d/1MMPq-JyI6DSgQETxuSiXkesP-P7JHuemnE6QJIa-Nlw/edit?usp=sharing"",""บุรีรัมย์!J209"")+IMPORTRANGE(""https://docs.google.com/spreadsheets/d/1l6IZ8xUPgMrESzc"&amp;"TYwhA1k_tPjeQjJPTqlm8Gd9eU5g/edit?usp=sharing"",""มหาสารคาม!J209"")+IMPORTRANGE(""https://docs.google.com/spreadsheets/d/1uB74YLqNjWX6FObjekfB2NtSYigTQyR2rq9u4Ub2Sq4/edit?usp=sharing"",""มุกดาหาร!J209"")+IMPORTRANGE(""https://docs.google.com/spreadsheets/"&amp;"d/1NexK3geCPxCTO1fzNF8dPec7yZyUx3OaWkFBC9HsQOo/edit?usp=sharing"",""ยโสธร!J209"")+IMPORTRANGE(""https://docs.google.com/spreadsheets/d/1v_cJrbBlyqmnHPReHk44g9NrMRdENNlSy_E_c5M9fIg/edit?usp=sharing"",""ร้อยเอ็ด!J209"")+IMPORTRANGE(""https://docs.google.com"&amp;"/spreadsheets/d/1Ul4RCpCX66NxYADU1QpwAPjOmBzW64SsT11s1wzXw_c/edit?usp=sharing"",""เลย!J209"")+IMPORTRANGE(""https://docs.google.com/spreadsheets/d/1bRrNKwbHDVktQG10isr5vbWRtt5spIZPpkOSWgbT5ug/edit?usp=sharing"",""ศรีสะเกษ!J209"")+IMPORTRANGE(""https://doc"&amp;"s.google.com/spreadsheets/d/17P34_Ow5kFBfdQD0qspb2UuPX5zpi6WMrQzslghyvrI/edit?usp=sharing"",""สกลนคร!J209"")+IMPORTRANGE(""https://docs.google.com/spreadsheets/d/1yswqbM3-AEpThF3ZSUa1AcmHnmRTF1vlJ1CZGcJ8YuU/edit?usp=sharing"",""สุรินทร์!J209"")+IMPORTRANG"&amp;"E(""https://docs.google.com/spreadsheets/d/13JHU_EFbsQOUQ0JSQ3dWy1VTRosIWcDq6Nc99z2qzdc/edit?usp=sharing"",""หนองคาย!J209"")+IMPORTRANGE(""https://docs.google.com/spreadsheets/d/1Hx73zIEgVdDZZaYSTc46Dqv64atFhpr3GelxLbaIN8A/edit?usp=sharing"",""หนองบัวลำภู"&amp;"!J209"")+IMPORTRANGE(""https://docs.google.com/spreadsheets/d/1lFxr3ctmjFN90yc-xV6jrQ9Ty8BKYVBWnAZ15wcNIJc/edit?usp=sharing"",""อำนาจเจริญ!J209"")+IMPORTRANGE(""https://docs.google.com/spreadsheets/d/1gF7RJpRnL-1oyjyeWxs5SFWEH7y8ahOZsQlyp2A2e-A/edit?usp=s"&amp;"haring"",""อุดรธานี!J209"")+IMPORTRANGE(""https://docs.google.com/spreadsheets/d/1kfLP0j3INXRa8bTDpcEmoWewMBV61jlFlfzczfjWIgc/edit?usp=sharing"",""อุบลราชธานี!J209"")"),0)</f>
        <v>0</v>
      </c>
      <c r="K209" s="182">
        <f ca="1">IF(I209&gt;0,J209*100/I209,0)</f>
        <v>0</v>
      </c>
      <c r="L209" s="58"/>
      <c r="M209" s="58"/>
      <c r="N209" s="58"/>
      <c r="O209" s="58"/>
      <c r="P209" s="58"/>
    </row>
    <row r="210" spans="1:16" ht="18.75" x14ac:dyDescent="0.25">
      <c r="A210" s="167"/>
      <c r="B210" s="168"/>
      <c r="C210" s="168"/>
      <c r="D210" s="193" t="s">
        <v>48</v>
      </c>
      <c r="E210" s="174"/>
      <c r="F210" s="174"/>
      <c r="G210" s="172"/>
      <c r="H210" s="172"/>
      <c r="I210" s="57"/>
      <c r="J210" s="57"/>
      <c r="K210" s="165"/>
      <c r="L210" s="58"/>
      <c r="M210" s="58"/>
      <c r="N210" s="58"/>
      <c r="O210" s="58"/>
      <c r="P210" s="58"/>
    </row>
    <row r="211" spans="1:16" ht="18.75" x14ac:dyDescent="0.25">
      <c r="A211" s="167"/>
      <c r="B211" s="168"/>
      <c r="C211" s="168"/>
      <c r="D211" s="174"/>
      <c r="E211" s="193" t="s">
        <v>85</v>
      </c>
      <c r="F211" s="174"/>
      <c r="G211" s="172"/>
      <c r="H211" s="294" t="s">
        <v>79</v>
      </c>
      <c r="I211" s="181">
        <v>0</v>
      </c>
      <c r="J211" s="181">
        <f ca="1">IFERROR(__xludf.DUMMYFUNCTION("IMPORTRANGE(""https://docs.google.com/spreadsheets/d/1yhBcrRPreicbMKl9Bu_Snb2-OcQAF62RKfhTLhJ2eAA/edit?usp=sharing"",""กาฬสินธุ์!J211"")+IMPORTRANGE(""https://docs.google.com/spreadsheets/d/1aHkj4IaQMThhwWwevcOymEh837vdxeC_PycurhTbGFA/edit?usp=sharing"","&amp;"""ขอนแก่น!J211"")+IMPORTRANGE(""https://docs.google.com/spreadsheets/d/1FvTu2DsIWUjP6WCWra38Bkj_oOl_sOMf14r5Fg5srxU/edit?usp=sharing"",""ชัยภูมิ!J211"")+IMPORTRANGE(""https://docs.google.com/spreadsheets/d/1XVB7oCJ3pr-vBUdflwPQ8Z2LlzhnCvZaaYjAfP-647E/edit"&amp;"?usp=sharing"",""นครพนม!J211"")+IMPORTRANGE(""https://docs.google.com/spreadsheets/d/1Mnpb-8PYAgn85W6KOTD40hc_Xc55CaLfHoGAbrZ8tls/edit?usp=sharing"",""นครราชสีมา!J211"")+IMPORTRANGE(""https://docs.google.com/spreadsheets/d/1xoDLGBv9CYbyosIhki0kTq6IpYNj-gp"&amp;"jxfobnaDiut0/edit?usp=sharing"",""บึงกาฬ!J211"")+IMPORTRANGE(""https://docs.google.com/spreadsheets/d/1MMPq-JyI6DSgQETxuSiXkesP-P7JHuemnE6QJIa-Nlw/edit?usp=sharing"",""บุรีรัมย์!J211"")+IMPORTRANGE(""https://docs.google.com/spreadsheets/d/1l6IZ8xUPgMrESzc"&amp;"TYwhA1k_tPjeQjJPTqlm8Gd9eU5g/edit?usp=sharing"",""มหาสารคาม!J211"")+IMPORTRANGE(""https://docs.google.com/spreadsheets/d/1uB74YLqNjWX6FObjekfB2NtSYigTQyR2rq9u4Ub2Sq4/edit?usp=sharing"",""มุกดาหาร!J211"")+IMPORTRANGE(""https://docs.google.com/spreadsheets/"&amp;"d/1NexK3geCPxCTO1fzNF8dPec7yZyUx3OaWkFBC9HsQOo/edit?usp=sharing"",""ยโสธร!J211"")+IMPORTRANGE(""https://docs.google.com/spreadsheets/d/1v_cJrbBlyqmnHPReHk44g9NrMRdENNlSy_E_c5M9fIg/edit?usp=sharing"",""ร้อยเอ็ด!J211"")+IMPORTRANGE(""https://docs.google.com"&amp;"/spreadsheets/d/1Ul4RCpCX66NxYADU1QpwAPjOmBzW64SsT11s1wzXw_c/edit?usp=sharing"",""เลย!J211"")+IMPORTRANGE(""https://docs.google.com/spreadsheets/d/1bRrNKwbHDVktQG10isr5vbWRtt5spIZPpkOSWgbT5ug/edit?usp=sharing"",""ศรีสะเกษ!J211"")+IMPORTRANGE(""https://doc"&amp;"s.google.com/spreadsheets/d/17P34_Ow5kFBfdQD0qspb2UuPX5zpi6WMrQzslghyvrI/edit?usp=sharing"",""สกลนคร!J211"")+IMPORTRANGE(""https://docs.google.com/spreadsheets/d/1yswqbM3-AEpThF3ZSUa1AcmHnmRTF1vlJ1CZGcJ8YuU/edit?usp=sharing"",""สุรินทร์!J211"")+IMPORTRANG"&amp;"E(""https://docs.google.com/spreadsheets/d/13JHU_EFbsQOUQ0JSQ3dWy1VTRosIWcDq6Nc99z2qzdc/edit?usp=sharing"",""หนองคาย!J211"")+IMPORTRANGE(""https://docs.google.com/spreadsheets/d/1Hx73zIEgVdDZZaYSTc46Dqv64atFhpr3GelxLbaIN8A/edit?usp=sharing"",""หนองบัวลำภู"&amp;"!J211"")+IMPORTRANGE(""https://docs.google.com/spreadsheets/d/1lFxr3ctmjFN90yc-xV6jrQ9Ty8BKYVBWnAZ15wcNIJc/edit?usp=sharing"",""อำนาจเจริญ!J211"")+IMPORTRANGE(""https://docs.google.com/spreadsheets/d/1gF7RJpRnL-1oyjyeWxs5SFWEH7y8ahOZsQlyp2A2e-A/edit?usp=s"&amp;"haring"",""อุดรธานี!J211"")+IMPORTRANGE(""https://docs.google.com/spreadsheets/d/1kfLP0j3INXRa8bTDpcEmoWewMBV61jlFlfzczfjWIgc/edit?usp=sharing"",""อุบลราชธานี!J211"")"),0)</f>
        <v>0</v>
      </c>
      <c r="K211" s="182">
        <f t="shared" ref="K211:K213" si="101">IF(I211&gt;0,J211*100/I211,0)</f>
        <v>0</v>
      </c>
      <c r="L211" s="58"/>
      <c r="M211" s="58"/>
      <c r="N211" s="58"/>
      <c r="O211" s="58"/>
      <c r="P211" s="58"/>
    </row>
    <row r="212" spans="1:16" ht="18.75" x14ac:dyDescent="0.25">
      <c r="A212" s="167"/>
      <c r="B212" s="168"/>
      <c r="C212" s="168"/>
      <c r="D212" s="174"/>
      <c r="E212" s="193" t="s">
        <v>86</v>
      </c>
      <c r="F212" s="174"/>
      <c r="G212" s="174"/>
      <c r="H212" s="295" t="s">
        <v>87</v>
      </c>
      <c r="I212" s="181">
        <v>0</v>
      </c>
      <c r="J212" s="181">
        <f ca="1">IFERROR(__xludf.DUMMYFUNCTION("IMPORTRANGE(""https://docs.google.com/spreadsheets/d/1yhBcrRPreicbMKl9Bu_Snb2-OcQAF62RKfhTLhJ2eAA/edit?usp=sharing"",""กาฬสินธุ์!J212"")+IMPORTRANGE(""https://docs.google.com/spreadsheets/d/1aHkj4IaQMThhwWwevcOymEh837vdxeC_PycurhTbGFA/edit?usp=sharing"","&amp;"""ขอนแก่น!J212"")+IMPORTRANGE(""https://docs.google.com/spreadsheets/d/1FvTu2DsIWUjP6WCWra38Bkj_oOl_sOMf14r5Fg5srxU/edit?usp=sharing"",""ชัยภูมิ!J212"")+IMPORTRANGE(""https://docs.google.com/spreadsheets/d/1XVB7oCJ3pr-vBUdflwPQ8Z2LlzhnCvZaaYjAfP-647E/edit"&amp;"?usp=sharing"",""นครพนม!J212"")+IMPORTRANGE(""https://docs.google.com/spreadsheets/d/1Mnpb-8PYAgn85W6KOTD40hc_Xc55CaLfHoGAbrZ8tls/edit?usp=sharing"",""นครราชสีมา!J212"")+IMPORTRANGE(""https://docs.google.com/spreadsheets/d/1xoDLGBv9CYbyosIhki0kTq6IpYNj-gp"&amp;"jxfobnaDiut0/edit?usp=sharing"",""บึงกาฬ!J212"")+IMPORTRANGE(""https://docs.google.com/spreadsheets/d/1MMPq-JyI6DSgQETxuSiXkesP-P7JHuemnE6QJIa-Nlw/edit?usp=sharing"",""บุรีรัมย์!J212"")+IMPORTRANGE(""https://docs.google.com/spreadsheets/d/1l6IZ8xUPgMrESzc"&amp;"TYwhA1k_tPjeQjJPTqlm8Gd9eU5g/edit?usp=sharing"",""มหาสารคาม!J212"")+IMPORTRANGE(""https://docs.google.com/spreadsheets/d/1uB74YLqNjWX6FObjekfB2NtSYigTQyR2rq9u4Ub2Sq4/edit?usp=sharing"",""มุกดาหาร!J212"")+IMPORTRANGE(""https://docs.google.com/spreadsheets/"&amp;"d/1NexK3geCPxCTO1fzNF8dPec7yZyUx3OaWkFBC9HsQOo/edit?usp=sharing"",""ยโสธร!J212"")+IMPORTRANGE(""https://docs.google.com/spreadsheets/d/1v_cJrbBlyqmnHPReHk44g9NrMRdENNlSy_E_c5M9fIg/edit?usp=sharing"",""ร้อยเอ็ด!J212"")+IMPORTRANGE(""https://docs.google.com"&amp;"/spreadsheets/d/1Ul4RCpCX66NxYADU1QpwAPjOmBzW64SsT11s1wzXw_c/edit?usp=sharing"",""เลย!J212"")+IMPORTRANGE(""https://docs.google.com/spreadsheets/d/1bRrNKwbHDVktQG10isr5vbWRtt5spIZPpkOSWgbT5ug/edit?usp=sharing"",""ศรีสะเกษ!J212"")+IMPORTRANGE(""https://doc"&amp;"s.google.com/spreadsheets/d/17P34_Ow5kFBfdQD0qspb2UuPX5zpi6WMrQzslghyvrI/edit?usp=sharing"",""สกลนคร!J212"")+IMPORTRANGE(""https://docs.google.com/spreadsheets/d/1yswqbM3-AEpThF3ZSUa1AcmHnmRTF1vlJ1CZGcJ8YuU/edit?usp=sharing"",""สุรินทร์!J212"")+IMPORTRANG"&amp;"E(""https://docs.google.com/spreadsheets/d/13JHU_EFbsQOUQ0JSQ3dWy1VTRosIWcDq6Nc99z2qzdc/edit?usp=sharing"",""หนองคาย!J212"")+IMPORTRANGE(""https://docs.google.com/spreadsheets/d/1Hx73zIEgVdDZZaYSTc46Dqv64atFhpr3GelxLbaIN8A/edit?usp=sharing"",""หนองบัวลำภู"&amp;"!J212"")+IMPORTRANGE(""https://docs.google.com/spreadsheets/d/1lFxr3ctmjFN90yc-xV6jrQ9Ty8BKYVBWnAZ15wcNIJc/edit?usp=sharing"",""อำนาจเจริญ!J212"")+IMPORTRANGE(""https://docs.google.com/spreadsheets/d/1gF7RJpRnL-1oyjyeWxs5SFWEH7y8ahOZsQlyp2A2e-A/edit?usp=s"&amp;"haring"",""อุดรธานี!J212"")+IMPORTRANGE(""https://docs.google.com/spreadsheets/d/1kfLP0j3INXRa8bTDpcEmoWewMBV61jlFlfzczfjWIgc/edit?usp=sharing"",""อุบลราชธานี!J212"")"),0)</f>
        <v>0</v>
      </c>
      <c r="K212" s="182">
        <f t="shared" si="101"/>
        <v>0</v>
      </c>
      <c r="L212" s="58"/>
      <c r="M212" s="58"/>
      <c r="N212" s="58"/>
      <c r="O212" s="58"/>
      <c r="P212" s="58"/>
    </row>
    <row r="213" spans="1:16" ht="19.5" x14ac:dyDescent="0.3">
      <c r="A213" s="279"/>
      <c r="B213" s="280"/>
      <c r="C213" s="281" t="s">
        <v>88</v>
      </c>
      <c r="D213" s="282"/>
      <c r="E213" s="282"/>
      <c r="F213" s="282"/>
      <c r="G213" s="283"/>
      <c r="H213" s="291" t="s">
        <v>79</v>
      </c>
      <c r="I213" s="285">
        <f t="shared" ref="I213:J213" ca="1" si="102">I220</f>
        <v>22</v>
      </c>
      <c r="J213" s="285">
        <f t="shared" ca="1" si="102"/>
        <v>0</v>
      </c>
      <c r="K213" s="286">
        <f t="shared" ca="1" si="101"/>
        <v>0</v>
      </c>
      <c r="L213" s="287"/>
      <c r="M213" s="287"/>
      <c r="N213" s="287"/>
      <c r="O213" s="287"/>
      <c r="P213" s="287"/>
    </row>
    <row r="214" spans="1:16" ht="19.5" x14ac:dyDescent="0.3">
      <c r="A214" s="157"/>
      <c r="B214" s="53"/>
      <c r="C214" s="158" t="s">
        <v>16</v>
      </c>
      <c r="D214" s="288" t="s">
        <v>17</v>
      </c>
      <c r="E214" s="53"/>
      <c r="F214" s="53"/>
      <c r="G214" s="55"/>
      <c r="H214" s="289" t="s">
        <v>12</v>
      </c>
      <c r="I214" s="164"/>
      <c r="J214" s="164"/>
      <c r="K214" s="165"/>
      <c r="L214" s="161">
        <f ca="1">L215+L216+L217</f>
        <v>308000</v>
      </c>
      <c r="M214" s="58"/>
      <c r="N214" s="161">
        <f ca="1">N215+N216+N217</f>
        <v>0</v>
      </c>
      <c r="O214" s="161">
        <f ca="1">IF(L214&gt;0,N214*100/L214,0)</f>
        <v>0</v>
      </c>
      <c r="P214" s="161"/>
    </row>
    <row r="215" spans="1:16" ht="18.75" x14ac:dyDescent="0.25">
      <c r="A215" s="157"/>
      <c r="B215" s="278"/>
      <c r="C215" s="53"/>
      <c r="D215" s="60" t="s">
        <v>80</v>
      </c>
      <c r="E215" s="53"/>
      <c r="F215" s="53"/>
      <c r="G215" s="55"/>
      <c r="H215" s="163" t="s">
        <v>12</v>
      </c>
      <c r="I215" s="164"/>
      <c r="J215" s="164"/>
      <c r="K215" s="165"/>
      <c r="L215" s="59">
        <f ca="1">IFERROR(__xludf.DUMMYFUNCTION("IMPORTRANGE(""https://docs.google.com/spreadsheets/d/1yhBcrRPreicbMKl9Bu_Snb2-OcQAF62RKfhTLhJ2eAA/edit?usp=sharing"",""กาฬสินธุ์!L215"")+IMPORTRANGE(""https://docs.google.com/spreadsheets/d/1aHkj4IaQMThhwWwevcOymEh837vdxeC_PycurhTbGFA/edit?usp=sharing"","&amp;"""ขอนแก่น!L215"")+IMPORTRANGE(""https://docs.google.com/spreadsheets/d/1FvTu2DsIWUjP6WCWra38Bkj_oOl_sOMf14r5Fg5srxU/edit?usp=sharing"",""ชัยภูมิ!L215"")+IMPORTRANGE(""https://docs.google.com/spreadsheets/d/1XVB7oCJ3pr-vBUdflwPQ8Z2LlzhnCvZaaYjAfP-647E/edit"&amp;"?usp=sharing"",""นครพนม!L215"")+IMPORTRANGE(""https://docs.google.com/spreadsheets/d/1Mnpb-8PYAgn85W6KOTD40hc_Xc55CaLfHoGAbrZ8tls/edit?usp=sharing"",""นครราชสีมา!L215"")+IMPORTRANGE(""https://docs.google.com/spreadsheets/d/1xoDLGBv9CYbyosIhki0kTq6IpYNj-gp"&amp;"jxfobnaDiut0/edit?usp=sharing"",""บึงกาฬ!L215"")+IMPORTRANGE(""https://docs.google.com/spreadsheets/d/1MMPq-JyI6DSgQETxuSiXkesP-P7JHuemnE6QJIa-Nlw/edit?usp=sharing"",""บุรีรัมย์!L215"")+IMPORTRANGE(""https://docs.google.com/spreadsheets/d/1l6IZ8xUPgMrESzc"&amp;"TYwhA1k_tPjeQjJPTqlm8Gd9eU5g/edit?usp=sharing"",""มหาสารคาม!L215"")+IMPORTRANGE(""https://docs.google.com/spreadsheets/d/1uB74YLqNjWX6FObjekfB2NtSYigTQyR2rq9u4Ub2Sq4/edit?usp=sharing"",""มุกดาหาร!L215"")+IMPORTRANGE(""https://docs.google.com/spreadsheets/"&amp;"d/1NexK3geCPxCTO1fzNF8dPec7yZyUx3OaWkFBC9HsQOo/edit?usp=sharing"",""ยโสธร!L215"")+IMPORTRANGE(""https://docs.google.com/spreadsheets/d/1v_cJrbBlyqmnHPReHk44g9NrMRdENNlSy_E_c5M9fIg/edit?usp=sharing"",""ร้อยเอ็ด!L215"")+IMPORTRANGE(""https://docs.google.com"&amp;"/spreadsheets/d/1Ul4RCpCX66NxYADU1QpwAPjOmBzW64SsT11s1wzXw_c/edit?usp=sharing"",""เลย!L215"")+IMPORTRANGE(""https://docs.google.com/spreadsheets/d/1bRrNKwbHDVktQG10isr5vbWRtt5spIZPpkOSWgbT5ug/edit?usp=sharing"",""ศรีสะเกษ!L215"")+IMPORTRANGE(""https://doc"&amp;"s.google.com/spreadsheets/d/17P34_Ow5kFBfdQD0qspb2UuPX5zpi6WMrQzslghyvrI/edit?usp=sharing"",""สกลนคร!L215"")+IMPORTRANGE(""https://docs.google.com/spreadsheets/d/1yswqbM3-AEpThF3ZSUa1AcmHnmRTF1vlJ1CZGcJ8YuU/edit?usp=sharing"",""สุรินทร์!L215"")+IMPORTRANG"&amp;"E(""https://docs.google.com/spreadsheets/d/13JHU_EFbsQOUQ0JSQ3dWy1VTRosIWcDq6Nc99z2qzdc/edit?usp=sharing"",""หนองคาย!L215"")+IMPORTRANGE(""https://docs.google.com/spreadsheets/d/1Hx73zIEgVdDZZaYSTc46Dqv64atFhpr3GelxLbaIN8A/edit?usp=sharing"",""หนองบัวลำภู"&amp;"!L215"")+IMPORTRANGE(""https://docs.google.com/spreadsheets/d/1lFxr3ctmjFN90yc-xV6jrQ9Ty8BKYVBWnAZ15wcNIJc/edit?usp=sharing"",""อำนาจเจริญ!L215"")+IMPORTRANGE(""https://docs.google.com/spreadsheets/d/1gF7RJpRnL-1oyjyeWxs5SFWEH7y8ahOZsQlyp2A2e-A/edit?usp=s"&amp;"haring"",""อุดรธานี!L215"")+IMPORTRANGE(""https://docs.google.com/spreadsheets/d/1kfLP0j3INXRa8bTDpcEmoWewMBV61jlFlfzczfjWIgc/edit?usp=sharing"",""อุบลราชธานี!L215"")"),22000)</f>
        <v>22000</v>
      </c>
      <c r="M215" s="58"/>
      <c r="N215" s="59">
        <f ca="1">IFERROR(__xludf.DUMMYFUNCTION("IMPORTRANGE(""https://docs.google.com/spreadsheets/d/1yhBcrRPreicbMKl9Bu_Snb2-OcQAF62RKfhTLhJ2eAA/edit?usp=sharing"",""กาฬสินธุ์!N215"")+IMPORTRANGE(""https://docs.google.com/spreadsheets/d/1aHkj4IaQMThhwWwevcOymEh837vdxeC_PycurhTbGFA/edit?usp=sharing"","&amp;"""ขอนแก่น!N215"")+IMPORTRANGE(""https://docs.google.com/spreadsheets/d/1FvTu2DsIWUjP6WCWra38Bkj_oOl_sOMf14r5Fg5srxU/edit?usp=sharing"",""ชัยภูมิ!N215"")+IMPORTRANGE(""https://docs.google.com/spreadsheets/d/1XVB7oCJ3pr-vBUdflwPQ8Z2LlzhnCvZaaYjAfP-647E/edit"&amp;"?usp=sharing"",""นครพนม!N215"")+IMPORTRANGE(""https://docs.google.com/spreadsheets/d/1Mnpb-8PYAgn85W6KOTD40hc_Xc55CaLfHoGAbrZ8tls/edit?usp=sharing"",""นครราชสีมา!N215"")+IMPORTRANGE(""https://docs.google.com/spreadsheets/d/1xoDLGBv9CYbyosIhki0kTq6IpYNj-gp"&amp;"jxfobnaDiut0/edit?usp=sharing"",""บึงกาฬ!N215"")+IMPORTRANGE(""https://docs.google.com/spreadsheets/d/1MMPq-JyI6DSgQETxuSiXkesP-P7JHuemnE6QJIa-Nlw/edit?usp=sharing"",""บุรีรัมย์!N215"")+IMPORTRANGE(""https://docs.google.com/spreadsheets/d/1l6IZ8xUPgMrESzc"&amp;"TYwhA1k_tPjeQjJPTqlm8Gd9eU5g/edit?usp=sharing"",""มหาสารคาม!N215"")+IMPORTRANGE(""https://docs.google.com/spreadsheets/d/1uB74YLqNjWX6FObjekfB2NtSYigTQyR2rq9u4Ub2Sq4/edit?usp=sharing"",""มุกดาหาร!N215"")+IMPORTRANGE(""https://docs.google.com/spreadsheets/"&amp;"d/1NexK3geCPxCTO1fzNF8dPec7yZyUx3OaWkFBC9HsQOo/edit?usp=sharing"",""ยโสธร!N215"")+IMPORTRANGE(""https://docs.google.com/spreadsheets/d/1v_cJrbBlyqmnHPReHk44g9NrMRdENNlSy_E_c5M9fIg/edit?usp=sharing"",""ร้อยเอ็ด!N215"")+IMPORTRANGE(""https://docs.google.com"&amp;"/spreadsheets/d/1Ul4RCpCX66NxYADU1QpwAPjOmBzW64SsT11s1wzXw_c/edit?usp=sharing"",""เลย!N215"")+IMPORTRANGE(""https://docs.google.com/spreadsheets/d/1bRrNKwbHDVktQG10isr5vbWRtt5spIZPpkOSWgbT5ug/edit?usp=sharing"",""ศรีสะเกษ!N215"")+IMPORTRANGE(""https://doc"&amp;"s.google.com/spreadsheets/d/17P34_Ow5kFBfdQD0qspb2UuPX5zpi6WMrQzslghyvrI/edit?usp=sharing"",""สกลนคร!N215"")+IMPORTRANGE(""https://docs.google.com/spreadsheets/d/1yswqbM3-AEpThF3ZSUa1AcmHnmRTF1vlJ1CZGcJ8YuU/edit?usp=sharing"",""สุรินทร์!N215"")+IMPORTRANG"&amp;"E(""https://docs.google.com/spreadsheets/d/13JHU_EFbsQOUQ0JSQ3dWy1VTRosIWcDq6Nc99z2qzdc/edit?usp=sharing"",""หนองคาย!N215"")+IMPORTRANGE(""https://docs.google.com/spreadsheets/d/1Hx73zIEgVdDZZaYSTc46Dqv64atFhpr3GelxLbaIN8A/edit?usp=sharing"",""หนองบัวลำภู"&amp;"!N215"")+IMPORTRANGE(""https://docs.google.com/spreadsheets/d/1lFxr3ctmjFN90yc-xV6jrQ9Ty8BKYVBWnAZ15wcNIJc/edit?usp=sharing"",""อำนาจเจริญ!N215"")+IMPORTRANGE(""https://docs.google.com/spreadsheets/d/1gF7RJpRnL-1oyjyeWxs5SFWEH7y8ahOZsQlyp2A2e-A/edit?usp=s"&amp;"haring"",""อุดรธานี!N215"")+IMPORTRANGE(""https://docs.google.com/spreadsheets/d/1kfLP0j3INXRa8bTDpcEmoWewMBV61jlFlfzczfjWIgc/edit?usp=sharing"",""อุบลราชธานี!N215"")"),0)</f>
        <v>0</v>
      </c>
      <c r="O215" s="182"/>
      <c r="P215" s="58"/>
    </row>
    <row r="216" spans="1:16" ht="18.75" x14ac:dyDescent="0.25">
      <c r="A216" s="274"/>
      <c r="B216" s="278"/>
      <c r="C216" s="278"/>
      <c r="D216" s="60" t="s">
        <v>89</v>
      </c>
      <c r="E216" s="53"/>
      <c r="F216" s="53"/>
      <c r="G216" s="55"/>
      <c r="H216" s="163" t="s">
        <v>12</v>
      </c>
      <c r="I216" s="57"/>
      <c r="J216" s="57"/>
      <c r="K216" s="58"/>
      <c r="L216" s="59">
        <f ca="1">IFERROR(__xludf.DUMMYFUNCTION("IMPORTRANGE(""https://docs.google.com/spreadsheets/d/1yhBcrRPreicbMKl9Bu_Snb2-OcQAF62RKfhTLhJ2eAA/edit?usp=sharing"",""กาฬสินธุ์!L216"")+IMPORTRANGE(""https://docs.google.com/spreadsheets/d/1aHkj4IaQMThhwWwevcOymEh837vdxeC_PycurhTbGFA/edit?usp=sharing"","&amp;"""ขอนแก่น!L216"")+IMPORTRANGE(""https://docs.google.com/spreadsheets/d/1FvTu2DsIWUjP6WCWra38Bkj_oOl_sOMf14r5Fg5srxU/edit?usp=sharing"",""ชัยภูมิ!L216"")+IMPORTRANGE(""https://docs.google.com/spreadsheets/d/1XVB7oCJ3pr-vBUdflwPQ8Z2LlzhnCvZaaYjAfP-647E/edit"&amp;"?usp=sharing"",""นครพนม!L216"")+IMPORTRANGE(""https://docs.google.com/spreadsheets/d/1Mnpb-8PYAgn85W6KOTD40hc_Xc55CaLfHoGAbrZ8tls/edit?usp=sharing"",""นครราชสีมา!L216"")+IMPORTRANGE(""https://docs.google.com/spreadsheets/d/1xoDLGBv9CYbyosIhki0kTq6IpYNj-gp"&amp;"jxfobnaDiut0/edit?usp=sharing"",""บึงกาฬ!L216"")+IMPORTRANGE(""https://docs.google.com/spreadsheets/d/1MMPq-JyI6DSgQETxuSiXkesP-P7JHuemnE6QJIa-Nlw/edit?usp=sharing"",""บุรีรัมย์!L216"")+IMPORTRANGE(""https://docs.google.com/spreadsheets/d/1l6IZ8xUPgMrESzc"&amp;"TYwhA1k_tPjeQjJPTqlm8Gd9eU5g/edit?usp=sharing"",""มหาสารคาม!L216"")+IMPORTRANGE(""https://docs.google.com/spreadsheets/d/1uB74YLqNjWX6FObjekfB2NtSYigTQyR2rq9u4Ub2Sq4/edit?usp=sharing"",""มุกดาหาร!L216"")+IMPORTRANGE(""https://docs.google.com/spreadsheets/"&amp;"d/1NexK3geCPxCTO1fzNF8dPec7yZyUx3OaWkFBC9HsQOo/edit?usp=sharing"",""ยโสธร!L216"")+IMPORTRANGE(""https://docs.google.com/spreadsheets/d/1v_cJrbBlyqmnHPReHk44g9NrMRdENNlSy_E_c5M9fIg/edit?usp=sharing"",""ร้อยเอ็ด!L216"")+IMPORTRANGE(""https://docs.google.com"&amp;"/spreadsheets/d/1Ul4RCpCX66NxYADU1QpwAPjOmBzW64SsT11s1wzXw_c/edit?usp=sharing"",""เลย!L216"")+IMPORTRANGE(""https://docs.google.com/spreadsheets/d/1bRrNKwbHDVktQG10isr5vbWRtt5spIZPpkOSWgbT5ug/edit?usp=sharing"",""ศรีสะเกษ!L216"")+IMPORTRANGE(""https://doc"&amp;"s.google.com/spreadsheets/d/17P34_Ow5kFBfdQD0qspb2UuPX5zpi6WMrQzslghyvrI/edit?usp=sharing"",""สกลนคร!L216"")+IMPORTRANGE(""https://docs.google.com/spreadsheets/d/1yswqbM3-AEpThF3ZSUa1AcmHnmRTF1vlJ1CZGcJ8YuU/edit?usp=sharing"",""สุรินทร์!L216"")+IMPORTRANG"&amp;"E(""https://docs.google.com/spreadsheets/d/13JHU_EFbsQOUQ0JSQ3dWy1VTRosIWcDq6Nc99z2qzdc/edit?usp=sharing"",""หนองคาย!L216"")+IMPORTRANGE(""https://docs.google.com/spreadsheets/d/1Hx73zIEgVdDZZaYSTc46Dqv64atFhpr3GelxLbaIN8A/edit?usp=sharing"",""หนองบัวลำภู"&amp;"!L216"")+IMPORTRANGE(""https://docs.google.com/spreadsheets/d/1lFxr3ctmjFN90yc-xV6jrQ9Ty8BKYVBWnAZ15wcNIJc/edit?usp=sharing"",""อำนาจเจริญ!L216"")+IMPORTRANGE(""https://docs.google.com/spreadsheets/d/1gF7RJpRnL-1oyjyeWxs5SFWEH7y8ahOZsQlyp2A2e-A/edit?usp=s"&amp;"haring"",""อุดรธานี!L216"")+IMPORTRANGE(""https://docs.google.com/spreadsheets/d/1kfLP0j3INXRa8bTDpcEmoWewMBV61jlFlfzczfjWIgc/edit?usp=sharing"",""อุบลราชธานี!L216"")"),110000)</f>
        <v>110000</v>
      </c>
      <c r="M216" s="58"/>
      <c r="N216" s="59">
        <f ca="1">IFERROR(__xludf.DUMMYFUNCTION("IMPORTRANGE(""https://docs.google.com/spreadsheets/d/1yhBcrRPreicbMKl9Bu_Snb2-OcQAF62RKfhTLhJ2eAA/edit?usp=sharing"",""กาฬสินธุ์!N216"")+IMPORTRANGE(""https://docs.google.com/spreadsheets/d/1aHkj4IaQMThhwWwevcOymEh837vdxeC_PycurhTbGFA/edit?usp=sharing"","&amp;"""ขอนแก่น!N216"")+IMPORTRANGE(""https://docs.google.com/spreadsheets/d/1FvTu2DsIWUjP6WCWra38Bkj_oOl_sOMf14r5Fg5srxU/edit?usp=sharing"",""ชัยภูมิ!N216"")+IMPORTRANGE(""https://docs.google.com/spreadsheets/d/1XVB7oCJ3pr-vBUdflwPQ8Z2LlzhnCvZaaYjAfP-647E/edit"&amp;"?usp=sharing"",""นครพนม!N216"")+IMPORTRANGE(""https://docs.google.com/spreadsheets/d/1Mnpb-8PYAgn85W6KOTD40hc_Xc55CaLfHoGAbrZ8tls/edit?usp=sharing"",""นครราชสีมา!N216"")+IMPORTRANGE(""https://docs.google.com/spreadsheets/d/1xoDLGBv9CYbyosIhki0kTq6IpYNj-gp"&amp;"jxfobnaDiut0/edit?usp=sharing"",""บึงกาฬ!N216"")+IMPORTRANGE(""https://docs.google.com/spreadsheets/d/1MMPq-JyI6DSgQETxuSiXkesP-P7JHuemnE6QJIa-Nlw/edit?usp=sharing"",""บุรีรัมย์!N216"")+IMPORTRANGE(""https://docs.google.com/spreadsheets/d/1l6IZ8xUPgMrESzc"&amp;"TYwhA1k_tPjeQjJPTqlm8Gd9eU5g/edit?usp=sharing"",""มหาสารคาม!N216"")+IMPORTRANGE(""https://docs.google.com/spreadsheets/d/1uB74YLqNjWX6FObjekfB2NtSYigTQyR2rq9u4Ub2Sq4/edit?usp=sharing"",""มุกดาหาร!N216"")+IMPORTRANGE(""https://docs.google.com/spreadsheets/"&amp;"d/1NexK3geCPxCTO1fzNF8dPec7yZyUx3OaWkFBC9HsQOo/edit?usp=sharing"",""ยโสธร!N216"")+IMPORTRANGE(""https://docs.google.com/spreadsheets/d/1v_cJrbBlyqmnHPReHk44g9NrMRdENNlSy_E_c5M9fIg/edit?usp=sharing"",""ร้อยเอ็ด!N216"")+IMPORTRANGE(""https://docs.google.com"&amp;"/spreadsheets/d/1Ul4RCpCX66NxYADU1QpwAPjOmBzW64SsT11s1wzXw_c/edit?usp=sharing"",""เลย!N216"")+IMPORTRANGE(""https://docs.google.com/spreadsheets/d/1bRrNKwbHDVktQG10isr5vbWRtt5spIZPpkOSWgbT5ug/edit?usp=sharing"",""ศรีสะเกษ!N216"")+IMPORTRANGE(""https://doc"&amp;"s.google.com/spreadsheets/d/17P34_Ow5kFBfdQD0qspb2UuPX5zpi6WMrQzslghyvrI/edit?usp=sharing"",""สกลนคร!N216"")+IMPORTRANGE(""https://docs.google.com/spreadsheets/d/1yswqbM3-AEpThF3ZSUa1AcmHnmRTF1vlJ1CZGcJ8YuU/edit?usp=sharing"",""สุรินทร์!N216"")+IMPORTRANG"&amp;"E(""https://docs.google.com/spreadsheets/d/13JHU_EFbsQOUQ0JSQ3dWy1VTRosIWcDq6Nc99z2qzdc/edit?usp=sharing"",""หนองคาย!N216"")+IMPORTRANGE(""https://docs.google.com/spreadsheets/d/1Hx73zIEgVdDZZaYSTc46Dqv64atFhpr3GelxLbaIN8A/edit?usp=sharing"",""หนองบัวลำภู"&amp;"!N216"")+IMPORTRANGE(""https://docs.google.com/spreadsheets/d/1lFxr3ctmjFN90yc-xV6jrQ9Ty8BKYVBWnAZ15wcNIJc/edit?usp=sharing"",""อำนาจเจริญ!N216"")+IMPORTRANGE(""https://docs.google.com/spreadsheets/d/1gF7RJpRnL-1oyjyeWxs5SFWEH7y8ahOZsQlyp2A2e-A/edit?usp=s"&amp;"haring"",""อุดรธานี!N216"")+IMPORTRANGE(""https://docs.google.com/spreadsheets/d/1kfLP0j3INXRa8bTDpcEmoWewMBV61jlFlfzczfjWIgc/edit?usp=sharing"",""อุบลราชธานี!N216"")"),0)</f>
        <v>0</v>
      </c>
      <c r="O216" s="182"/>
      <c r="P216" s="58"/>
    </row>
    <row r="217" spans="1:16" ht="18.75" x14ac:dyDescent="0.25">
      <c r="A217" s="274"/>
      <c r="B217" s="278"/>
      <c r="C217" s="278"/>
      <c r="D217" s="60" t="s">
        <v>82</v>
      </c>
      <c r="E217" s="53"/>
      <c r="F217" s="53"/>
      <c r="G217" s="55"/>
      <c r="H217" s="163" t="s">
        <v>12</v>
      </c>
      <c r="I217" s="57"/>
      <c r="J217" s="57"/>
      <c r="K217" s="58"/>
      <c r="L217" s="59">
        <f ca="1">IFERROR(__xludf.DUMMYFUNCTION("IMPORTRANGE(""https://docs.google.com/spreadsheets/d/1yhBcrRPreicbMKl9Bu_Snb2-OcQAF62RKfhTLhJ2eAA/edit?usp=sharing"",""กาฬสินธุ์!L217"")+IMPORTRANGE(""https://docs.google.com/spreadsheets/d/1aHkj4IaQMThhwWwevcOymEh837vdxeC_PycurhTbGFA/edit?usp=sharing"","&amp;"""ขอนแก่น!L217"")+IMPORTRANGE(""https://docs.google.com/spreadsheets/d/1FvTu2DsIWUjP6WCWra38Bkj_oOl_sOMf14r5Fg5srxU/edit?usp=sharing"",""ชัยภูมิ!L217"")+IMPORTRANGE(""https://docs.google.com/spreadsheets/d/1XVB7oCJ3pr-vBUdflwPQ8Z2LlzhnCvZaaYjAfP-647E/edit"&amp;"?usp=sharing"",""นครพนม!L217"")+IMPORTRANGE(""https://docs.google.com/spreadsheets/d/1Mnpb-8PYAgn85W6KOTD40hc_Xc55CaLfHoGAbrZ8tls/edit?usp=sharing"",""นครราชสีมา!L217"")+IMPORTRANGE(""https://docs.google.com/spreadsheets/d/1xoDLGBv9CYbyosIhki0kTq6IpYNj-gp"&amp;"jxfobnaDiut0/edit?usp=sharing"",""บึงกาฬ!L217"")+IMPORTRANGE(""https://docs.google.com/spreadsheets/d/1MMPq-JyI6DSgQETxuSiXkesP-P7JHuemnE6QJIa-Nlw/edit?usp=sharing"",""บุรีรัมย์!L217"")+IMPORTRANGE(""https://docs.google.com/spreadsheets/d/1l6IZ8xUPgMrESzc"&amp;"TYwhA1k_tPjeQjJPTqlm8Gd9eU5g/edit?usp=sharing"",""มหาสารคาม!L217"")+IMPORTRANGE(""https://docs.google.com/spreadsheets/d/1uB74YLqNjWX6FObjekfB2NtSYigTQyR2rq9u4Ub2Sq4/edit?usp=sharing"",""มุกดาหาร!L217"")+IMPORTRANGE(""https://docs.google.com/spreadsheets/"&amp;"d/1NexK3geCPxCTO1fzNF8dPec7yZyUx3OaWkFBC9HsQOo/edit?usp=sharing"",""ยโสธร!L217"")+IMPORTRANGE(""https://docs.google.com/spreadsheets/d/1v_cJrbBlyqmnHPReHk44g9NrMRdENNlSy_E_c5M9fIg/edit?usp=sharing"",""ร้อยเอ็ด!L217"")+IMPORTRANGE(""https://docs.google.com"&amp;"/spreadsheets/d/1Ul4RCpCX66NxYADU1QpwAPjOmBzW64SsT11s1wzXw_c/edit?usp=sharing"",""เลย!L217"")+IMPORTRANGE(""https://docs.google.com/spreadsheets/d/1bRrNKwbHDVktQG10isr5vbWRtt5spIZPpkOSWgbT5ug/edit?usp=sharing"",""ศรีสะเกษ!L217"")+IMPORTRANGE(""https://doc"&amp;"s.google.com/spreadsheets/d/17P34_Ow5kFBfdQD0qspb2UuPX5zpi6WMrQzslghyvrI/edit?usp=sharing"",""สกลนคร!L217"")+IMPORTRANGE(""https://docs.google.com/spreadsheets/d/1yswqbM3-AEpThF3ZSUa1AcmHnmRTF1vlJ1CZGcJ8YuU/edit?usp=sharing"",""สุรินทร์!L217"")+IMPORTRANG"&amp;"E(""https://docs.google.com/spreadsheets/d/13JHU_EFbsQOUQ0JSQ3dWy1VTRosIWcDq6Nc99z2qzdc/edit?usp=sharing"",""หนองคาย!L217"")+IMPORTRANGE(""https://docs.google.com/spreadsheets/d/1Hx73zIEgVdDZZaYSTc46Dqv64atFhpr3GelxLbaIN8A/edit?usp=sharing"",""หนองบัวลำภู"&amp;"!L217"")+IMPORTRANGE(""https://docs.google.com/spreadsheets/d/1lFxr3ctmjFN90yc-xV6jrQ9Ty8BKYVBWnAZ15wcNIJc/edit?usp=sharing"",""อำนาจเจริญ!L217"")+IMPORTRANGE(""https://docs.google.com/spreadsheets/d/1gF7RJpRnL-1oyjyeWxs5SFWEH7y8ahOZsQlyp2A2e-A/edit?usp=s"&amp;"haring"",""อุดรธานี!L217"")+IMPORTRANGE(""https://docs.google.com/spreadsheets/d/1kfLP0j3INXRa8bTDpcEmoWewMBV61jlFlfzczfjWIgc/edit?usp=sharing"",""อุบลราชธานี!L217"")"),176000)</f>
        <v>176000</v>
      </c>
      <c r="M217" s="58"/>
      <c r="N217" s="59">
        <f ca="1">IFERROR(__xludf.DUMMYFUNCTION("IMPORTRANGE(""https://docs.google.com/spreadsheets/d/1yhBcrRPreicbMKl9Bu_Snb2-OcQAF62RKfhTLhJ2eAA/edit?usp=sharing"",""กาฬสินธุ์!N217"")+IMPORTRANGE(""https://docs.google.com/spreadsheets/d/1aHkj4IaQMThhwWwevcOymEh837vdxeC_PycurhTbGFA/edit?usp=sharing"","&amp;"""ขอนแก่น!N217"")+IMPORTRANGE(""https://docs.google.com/spreadsheets/d/1FvTu2DsIWUjP6WCWra38Bkj_oOl_sOMf14r5Fg5srxU/edit?usp=sharing"",""ชัยภูมิ!N217"")+IMPORTRANGE(""https://docs.google.com/spreadsheets/d/1XVB7oCJ3pr-vBUdflwPQ8Z2LlzhnCvZaaYjAfP-647E/edit"&amp;"?usp=sharing"",""นครพนม!N217"")+IMPORTRANGE(""https://docs.google.com/spreadsheets/d/1Mnpb-8PYAgn85W6KOTD40hc_Xc55CaLfHoGAbrZ8tls/edit?usp=sharing"",""นครราชสีมา!N217"")+IMPORTRANGE(""https://docs.google.com/spreadsheets/d/1xoDLGBv9CYbyosIhki0kTq6IpYNj-gp"&amp;"jxfobnaDiut0/edit?usp=sharing"",""บึงกาฬ!N217"")+IMPORTRANGE(""https://docs.google.com/spreadsheets/d/1MMPq-JyI6DSgQETxuSiXkesP-P7JHuemnE6QJIa-Nlw/edit?usp=sharing"",""บุรีรัมย์!N217"")+IMPORTRANGE(""https://docs.google.com/spreadsheets/d/1l6IZ8xUPgMrESzc"&amp;"TYwhA1k_tPjeQjJPTqlm8Gd9eU5g/edit?usp=sharing"",""มหาสารคาม!N217"")+IMPORTRANGE(""https://docs.google.com/spreadsheets/d/1uB74YLqNjWX6FObjekfB2NtSYigTQyR2rq9u4Ub2Sq4/edit?usp=sharing"",""มุกดาหาร!N217"")+IMPORTRANGE(""https://docs.google.com/spreadsheets/"&amp;"d/1NexK3geCPxCTO1fzNF8dPec7yZyUx3OaWkFBC9HsQOo/edit?usp=sharing"",""ยโสธร!N217"")+IMPORTRANGE(""https://docs.google.com/spreadsheets/d/1v_cJrbBlyqmnHPReHk44g9NrMRdENNlSy_E_c5M9fIg/edit?usp=sharing"",""ร้อยเอ็ด!N217"")+IMPORTRANGE(""https://docs.google.com"&amp;"/spreadsheets/d/1Ul4RCpCX66NxYADU1QpwAPjOmBzW64SsT11s1wzXw_c/edit?usp=sharing"",""เลย!N217"")+IMPORTRANGE(""https://docs.google.com/spreadsheets/d/1bRrNKwbHDVktQG10isr5vbWRtt5spIZPpkOSWgbT5ug/edit?usp=sharing"",""ศรีสะเกษ!N217"")+IMPORTRANGE(""https://doc"&amp;"s.google.com/spreadsheets/d/17P34_Ow5kFBfdQD0qspb2UuPX5zpi6WMrQzslghyvrI/edit?usp=sharing"",""สกลนคร!N217"")+IMPORTRANGE(""https://docs.google.com/spreadsheets/d/1yswqbM3-AEpThF3ZSUa1AcmHnmRTF1vlJ1CZGcJ8YuU/edit?usp=sharing"",""สุรินทร์!N217"")+IMPORTRANG"&amp;"E(""https://docs.google.com/spreadsheets/d/13JHU_EFbsQOUQ0JSQ3dWy1VTRosIWcDq6Nc99z2qzdc/edit?usp=sharing"",""หนองคาย!N217"")+IMPORTRANGE(""https://docs.google.com/spreadsheets/d/1Hx73zIEgVdDZZaYSTc46Dqv64atFhpr3GelxLbaIN8A/edit?usp=sharing"",""หนองบัวลำภู"&amp;"!N217"")+IMPORTRANGE(""https://docs.google.com/spreadsheets/d/1lFxr3ctmjFN90yc-xV6jrQ9Ty8BKYVBWnAZ15wcNIJc/edit?usp=sharing"",""อำนาจเจริญ!N217"")+IMPORTRANGE(""https://docs.google.com/spreadsheets/d/1gF7RJpRnL-1oyjyeWxs5SFWEH7y8ahOZsQlyp2A2e-A/edit?usp=s"&amp;"haring"",""อุดรธานี!N217"")+IMPORTRANGE(""https://docs.google.com/spreadsheets/d/1kfLP0j3INXRa8bTDpcEmoWewMBV61jlFlfzczfjWIgc/edit?usp=sharing"",""อุบลราชธานี!N217"")"),0)</f>
        <v>0</v>
      </c>
      <c r="O217" s="182"/>
      <c r="P217" s="58"/>
    </row>
    <row r="218" spans="1:16" ht="19.5" x14ac:dyDescent="0.3">
      <c r="A218" s="167"/>
      <c r="B218" s="168"/>
      <c r="C218" s="296" t="s">
        <v>16</v>
      </c>
      <c r="D218" s="169" t="s">
        <v>36</v>
      </c>
      <c r="E218" s="170"/>
      <c r="F218" s="170"/>
      <c r="G218" s="171"/>
      <c r="H218" s="172"/>
      <c r="I218" s="164"/>
      <c r="J218" s="57"/>
      <c r="K218" s="58"/>
      <c r="L218" s="58"/>
      <c r="M218" s="58"/>
      <c r="N218" s="58"/>
      <c r="O218" s="165"/>
      <c r="P218" s="165"/>
    </row>
    <row r="219" spans="1:16" ht="18.75" x14ac:dyDescent="0.25">
      <c r="A219" s="167"/>
      <c r="B219" s="168"/>
      <c r="C219" s="168"/>
      <c r="D219" s="173" t="s">
        <v>90</v>
      </c>
      <c r="E219" s="174"/>
      <c r="F219" s="174"/>
      <c r="G219" s="172"/>
      <c r="H219" s="294" t="s">
        <v>79</v>
      </c>
      <c r="I219" s="194">
        <f ca="1">IFERROR(__xludf.DUMMYFUNCTION("IMPORTRANGE(""https://docs.google.com/spreadsheets/d/1yhBcrRPreicbMKl9Bu_Snb2-OcQAF62RKfhTLhJ2eAA/edit?usp=sharing"",""กาฬสินธุ์!I219"")+IMPORTRANGE(""https://docs.google.com/spreadsheets/d/1aHkj4IaQMThhwWwevcOymEh837vdxeC_PycurhTbGFA/edit?usp=sharing"","&amp;"""ขอนแก่น!I219"")+IMPORTRANGE(""https://docs.google.com/spreadsheets/d/1FvTu2DsIWUjP6WCWra38Bkj_oOl_sOMf14r5Fg5srxU/edit?usp=sharing"",""ชัยภูมิ!I219"")+IMPORTRANGE(""https://docs.google.com/spreadsheets/d/1XVB7oCJ3pr-vBUdflwPQ8Z2LlzhnCvZaaYjAfP-647E/edit"&amp;"?usp=sharing"",""นครพนม!I219"")+IMPORTRANGE(""https://docs.google.com/spreadsheets/d/1Mnpb-8PYAgn85W6KOTD40hc_Xc55CaLfHoGAbrZ8tls/edit?usp=sharing"",""นครราชสีมา!I219"")+IMPORTRANGE(""https://docs.google.com/spreadsheets/d/1xoDLGBv9CYbyosIhki0kTq6IpYNj-gp"&amp;"jxfobnaDiut0/edit?usp=sharing"",""บึงกาฬ!I219"")+IMPORTRANGE(""https://docs.google.com/spreadsheets/d/1MMPq-JyI6DSgQETxuSiXkesP-P7JHuemnE6QJIa-Nlw/edit?usp=sharing"",""บุรีรัมย์!I219"")+IMPORTRANGE(""https://docs.google.com/spreadsheets/d/1l6IZ8xUPgMrESzc"&amp;"TYwhA1k_tPjeQjJPTqlm8Gd9eU5g/edit?usp=sharing"",""มหาสารคาม!I219"")+IMPORTRANGE(""https://docs.google.com/spreadsheets/d/1uB74YLqNjWX6FObjekfB2NtSYigTQyR2rq9u4Ub2Sq4/edit?usp=sharing"",""มุกดาหาร!I219"")+IMPORTRANGE(""https://docs.google.com/spreadsheets/"&amp;"d/1NexK3geCPxCTO1fzNF8dPec7yZyUx3OaWkFBC9HsQOo/edit?usp=sharing"",""ยโสธร!I219"")+IMPORTRANGE(""https://docs.google.com/spreadsheets/d/1v_cJrbBlyqmnHPReHk44g9NrMRdENNlSy_E_c5M9fIg/edit?usp=sharing"",""ร้อยเอ็ด!I219"")+IMPORTRANGE(""https://docs.google.com"&amp;"/spreadsheets/d/1Ul4RCpCX66NxYADU1QpwAPjOmBzW64SsT11s1wzXw_c/edit?usp=sharing"",""เลย!I219"")+IMPORTRANGE(""https://docs.google.com/spreadsheets/d/1bRrNKwbHDVktQG10isr5vbWRtt5spIZPpkOSWgbT5ug/edit?usp=sharing"",""ศรีสะเกษ!I219"")+IMPORTRANGE(""https://doc"&amp;"s.google.com/spreadsheets/d/17P34_Ow5kFBfdQD0qspb2UuPX5zpi6WMrQzslghyvrI/edit?usp=sharing"",""สกลนคร!I219"")+IMPORTRANGE(""https://docs.google.com/spreadsheets/d/1yswqbM3-AEpThF3ZSUa1AcmHnmRTF1vlJ1CZGcJ8YuU/edit?usp=sharing"",""สุรินทร์!I219"")+IMPORTRANG"&amp;"E(""https://docs.google.com/spreadsheets/d/13JHU_EFbsQOUQ0JSQ3dWy1VTRosIWcDq6Nc99z2qzdc/edit?usp=sharing"",""หนองคาย!I219"")+IMPORTRANGE(""https://docs.google.com/spreadsheets/d/1Hx73zIEgVdDZZaYSTc46Dqv64atFhpr3GelxLbaIN8A/edit?usp=sharing"",""หนองบัวลำภู"&amp;"!I219"")+IMPORTRANGE(""https://docs.google.com/spreadsheets/d/1lFxr3ctmjFN90yc-xV6jrQ9Ty8BKYVBWnAZ15wcNIJc/edit?usp=sharing"",""อำนาจเจริญ!I219"")+IMPORTRANGE(""https://docs.google.com/spreadsheets/d/1gF7RJpRnL-1oyjyeWxs5SFWEH7y8ahOZsQlyp2A2e-A/edit?usp=s"&amp;"haring"",""อุดรธานี!I219"")+IMPORTRANGE(""https://docs.google.com/spreadsheets/d/1kfLP0j3INXRa8bTDpcEmoWewMBV61jlFlfzczfjWIgc/edit?usp=sharing"",""อุบลราชธานี!I219"")"),22)</f>
        <v>22</v>
      </c>
      <c r="J219" s="181">
        <f ca="1">IFERROR(__xludf.DUMMYFUNCTION("IMPORTRANGE(""https://docs.google.com/spreadsheets/d/1yhBcrRPreicbMKl9Bu_Snb2-OcQAF62RKfhTLhJ2eAA/edit?usp=sharing"",""กาฬสินธุ์!J219"")+IMPORTRANGE(""https://docs.google.com/spreadsheets/d/1aHkj4IaQMThhwWwevcOymEh837vdxeC_PycurhTbGFA/edit?usp=sharing"","&amp;"""ขอนแก่น!J219"")+IMPORTRANGE(""https://docs.google.com/spreadsheets/d/1FvTu2DsIWUjP6WCWra38Bkj_oOl_sOMf14r5Fg5srxU/edit?usp=sharing"",""ชัยภูมิ!J219"")+IMPORTRANGE(""https://docs.google.com/spreadsheets/d/1XVB7oCJ3pr-vBUdflwPQ8Z2LlzhnCvZaaYjAfP-647E/edit"&amp;"?usp=sharing"",""นครพนม!J219"")+IMPORTRANGE(""https://docs.google.com/spreadsheets/d/1Mnpb-8PYAgn85W6KOTD40hc_Xc55CaLfHoGAbrZ8tls/edit?usp=sharing"",""นครราชสีมา!J219"")+IMPORTRANGE(""https://docs.google.com/spreadsheets/d/1xoDLGBv9CYbyosIhki0kTq6IpYNj-gp"&amp;"jxfobnaDiut0/edit?usp=sharing"",""บึงกาฬ!J219"")+IMPORTRANGE(""https://docs.google.com/spreadsheets/d/1MMPq-JyI6DSgQETxuSiXkesP-P7JHuemnE6QJIa-Nlw/edit?usp=sharing"",""บุรีรัมย์!J219"")+IMPORTRANGE(""https://docs.google.com/spreadsheets/d/1l6IZ8xUPgMrESzc"&amp;"TYwhA1k_tPjeQjJPTqlm8Gd9eU5g/edit?usp=sharing"",""มหาสารคาม!J219"")+IMPORTRANGE(""https://docs.google.com/spreadsheets/d/1uB74YLqNjWX6FObjekfB2NtSYigTQyR2rq9u4Ub2Sq4/edit?usp=sharing"",""มุกดาหาร!J219"")+IMPORTRANGE(""https://docs.google.com/spreadsheets/"&amp;"d/1NexK3geCPxCTO1fzNF8dPec7yZyUx3OaWkFBC9HsQOo/edit?usp=sharing"",""ยโสธร!J219"")+IMPORTRANGE(""https://docs.google.com/spreadsheets/d/1v_cJrbBlyqmnHPReHk44g9NrMRdENNlSy_E_c5M9fIg/edit?usp=sharing"",""ร้อยเอ็ด!J219"")+IMPORTRANGE(""https://docs.google.com"&amp;"/spreadsheets/d/1Ul4RCpCX66NxYADU1QpwAPjOmBzW64SsT11s1wzXw_c/edit?usp=sharing"",""เลย!J219"")+IMPORTRANGE(""https://docs.google.com/spreadsheets/d/1bRrNKwbHDVktQG10isr5vbWRtt5spIZPpkOSWgbT5ug/edit?usp=sharing"",""ศรีสะเกษ!J219"")+IMPORTRANGE(""https://doc"&amp;"s.google.com/spreadsheets/d/17P34_Ow5kFBfdQD0qspb2UuPX5zpi6WMrQzslghyvrI/edit?usp=sharing"",""สกลนคร!J219"")+IMPORTRANGE(""https://docs.google.com/spreadsheets/d/1yswqbM3-AEpThF3ZSUa1AcmHnmRTF1vlJ1CZGcJ8YuU/edit?usp=sharing"",""สุรินทร์!J219"")+IMPORTRANG"&amp;"E(""https://docs.google.com/spreadsheets/d/13JHU_EFbsQOUQ0JSQ3dWy1VTRosIWcDq6Nc99z2qzdc/edit?usp=sharing"",""หนองคาย!J219"")+IMPORTRANGE(""https://docs.google.com/spreadsheets/d/1Hx73zIEgVdDZZaYSTc46Dqv64atFhpr3GelxLbaIN8A/edit?usp=sharing"",""หนองบัวลำภู"&amp;"!J219"")+IMPORTRANGE(""https://docs.google.com/spreadsheets/d/1lFxr3ctmjFN90yc-xV6jrQ9Ty8BKYVBWnAZ15wcNIJc/edit?usp=sharing"",""อำนาจเจริญ!J219"")+IMPORTRANGE(""https://docs.google.com/spreadsheets/d/1gF7RJpRnL-1oyjyeWxs5SFWEH7y8ahOZsQlyp2A2e-A/edit?usp=s"&amp;"haring"",""อุดรธานี!J219"")+IMPORTRANGE(""https://docs.google.com/spreadsheets/d/1kfLP0j3INXRa8bTDpcEmoWewMBV61jlFlfzczfjWIgc/edit?usp=sharing"",""อุบลราชธานี!J219"")"),0)</f>
        <v>0</v>
      </c>
      <c r="K219" s="59">
        <f t="shared" ref="K219:K221" ca="1" si="103">IF(I219&gt;0,J219*100/I219,0)</f>
        <v>0</v>
      </c>
      <c r="L219" s="58"/>
      <c r="M219" s="58"/>
      <c r="N219" s="58"/>
      <c r="O219" s="58"/>
      <c r="P219" s="58"/>
    </row>
    <row r="220" spans="1:16" ht="18.75" x14ac:dyDescent="0.25">
      <c r="A220" s="167"/>
      <c r="B220" s="168"/>
      <c r="C220" s="168"/>
      <c r="D220" s="173" t="s">
        <v>91</v>
      </c>
      <c r="E220" s="174"/>
      <c r="F220" s="174"/>
      <c r="G220" s="172"/>
      <c r="H220" s="294" t="s">
        <v>79</v>
      </c>
      <c r="I220" s="194">
        <f ca="1">IFERROR(__xludf.DUMMYFUNCTION("IMPORTRANGE(""https://docs.google.com/spreadsheets/d/1yhBcrRPreicbMKl9Bu_Snb2-OcQAF62RKfhTLhJ2eAA/edit?usp=sharing"",""กาฬสินธุ์!I220"")+IMPORTRANGE(""https://docs.google.com/spreadsheets/d/1aHkj4IaQMThhwWwevcOymEh837vdxeC_PycurhTbGFA/edit?usp=sharing"","&amp;"""ขอนแก่น!I220"")+IMPORTRANGE(""https://docs.google.com/spreadsheets/d/1FvTu2DsIWUjP6WCWra38Bkj_oOl_sOMf14r5Fg5srxU/edit?usp=sharing"",""ชัยภูมิ!I220"")+IMPORTRANGE(""https://docs.google.com/spreadsheets/d/1XVB7oCJ3pr-vBUdflwPQ8Z2LlzhnCvZaaYjAfP-647E/edit"&amp;"?usp=sharing"",""นครพนม!I220"")+IMPORTRANGE(""https://docs.google.com/spreadsheets/d/1Mnpb-8PYAgn85W6KOTD40hc_Xc55CaLfHoGAbrZ8tls/edit?usp=sharing"",""นครราชสีมา!I220"")+IMPORTRANGE(""https://docs.google.com/spreadsheets/d/1xoDLGBv9CYbyosIhki0kTq6IpYNj-gp"&amp;"jxfobnaDiut0/edit?usp=sharing"",""บึงกาฬ!I220"")+IMPORTRANGE(""https://docs.google.com/spreadsheets/d/1MMPq-JyI6DSgQETxuSiXkesP-P7JHuemnE6QJIa-Nlw/edit?usp=sharing"",""บุรีรัมย์!I220"")+IMPORTRANGE(""https://docs.google.com/spreadsheets/d/1l6IZ8xUPgMrESzc"&amp;"TYwhA1k_tPjeQjJPTqlm8Gd9eU5g/edit?usp=sharing"",""มหาสารคาม!I220"")+IMPORTRANGE(""https://docs.google.com/spreadsheets/d/1uB74YLqNjWX6FObjekfB2NtSYigTQyR2rq9u4Ub2Sq4/edit?usp=sharing"",""มุกดาหาร!I220"")+IMPORTRANGE(""https://docs.google.com/spreadsheets/"&amp;"d/1NexK3geCPxCTO1fzNF8dPec7yZyUx3OaWkFBC9HsQOo/edit?usp=sharing"",""ยโสธร!I220"")+IMPORTRANGE(""https://docs.google.com/spreadsheets/d/1v_cJrbBlyqmnHPReHk44g9NrMRdENNlSy_E_c5M9fIg/edit?usp=sharing"",""ร้อยเอ็ด!I220"")+IMPORTRANGE(""https://docs.google.com"&amp;"/spreadsheets/d/1Ul4RCpCX66NxYADU1QpwAPjOmBzW64SsT11s1wzXw_c/edit?usp=sharing"",""เลย!I220"")+IMPORTRANGE(""https://docs.google.com/spreadsheets/d/1bRrNKwbHDVktQG10isr5vbWRtt5spIZPpkOSWgbT5ug/edit?usp=sharing"",""ศรีสะเกษ!I220"")+IMPORTRANGE(""https://doc"&amp;"s.google.com/spreadsheets/d/17P34_Ow5kFBfdQD0qspb2UuPX5zpi6WMrQzslghyvrI/edit?usp=sharing"",""สกลนคร!I220"")+IMPORTRANGE(""https://docs.google.com/spreadsheets/d/1yswqbM3-AEpThF3ZSUa1AcmHnmRTF1vlJ1CZGcJ8YuU/edit?usp=sharing"",""สุรินทร์!I220"")+IMPORTRANG"&amp;"E(""https://docs.google.com/spreadsheets/d/13JHU_EFbsQOUQ0JSQ3dWy1VTRosIWcDq6Nc99z2qzdc/edit?usp=sharing"",""หนองคาย!I220"")+IMPORTRANGE(""https://docs.google.com/spreadsheets/d/1Hx73zIEgVdDZZaYSTc46Dqv64atFhpr3GelxLbaIN8A/edit?usp=sharing"",""หนองบัวลำภู"&amp;"!I220"")+IMPORTRANGE(""https://docs.google.com/spreadsheets/d/1lFxr3ctmjFN90yc-xV6jrQ9Ty8BKYVBWnAZ15wcNIJc/edit?usp=sharing"",""อำนาจเจริญ!I220"")+IMPORTRANGE(""https://docs.google.com/spreadsheets/d/1gF7RJpRnL-1oyjyeWxs5SFWEH7y8ahOZsQlyp2A2e-A/edit?usp=s"&amp;"haring"",""อุดรธานี!I220"")+IMPORTRANGE(""https://docs.google.com/spreadsheets/d/1kfLP0j3INXRa8bTDpcEmoWewMBV61jlFlfzczfjWIgc/edit?usp=sharing"",""อุบลราชธานี!I220"")"),22)</f>
        <v>22</v>
      </c>
      <c r="J220" s="181">
        <f ca="1">IFERROR(__xludf.DUMMYFUNCTION("IMPORTRANGE(""https://docs.google.com/spreadsheets/d/1yhBcrRPreicbMKl9Bu_Snb2-OcQAF62RKfhTLhJ2eAA/edit?usp=sharing"",""กาฬสินธุ์!J220"")+IMPORTRANGE(""https://docs.google.com/spreadsheets/d/1aHkj4IaQMThhwWwevcOymEh837vdxeC_PycurhTbGFA/edit?usp=sharing"","&amp;"""ขอนแก่น!J220"")+IMPORTRANGE(""https://docs.google.com/spreadsheets/d/1FvTu2DsIWUjP6WCWra38Bkj_oOl_sOMf14r5Fg5srxU/edit?usp=sharing"",""ชัยภูมิ!J220"")+IMPORTRANGE(""https://docs.google.com/spreadsheets/d/1XVB7oCJ3pr-vBUdflwPQ8Z2LlzhnCvZaaYjAfP-647E/edit"&amp;"?usp=sharing"",""นครพนม!J220"")+IMPORTRANGE(""https://docs.google.com/spreadsheets/d/1Mnpb-8PYAgn85W6KOTD40hc_Xc55CaLfHoGAbrZ8tls/edit?usp=sharing"",""นครราชสีมา!J220"")+IMPORTRANGE(""https://docs.google.com/spreadsheets/d/1xoDLGBv9CYbyosIhki0kTq6IpYNj-gp"&amp;"jxfobnaDiut0/edit?usp=sharing"",""บึงกาฬ!J220"")+IMPORTRANGE(""https://docs.google.com/spreadsheets/d/1MMPq-JyI6DSgQETxuSiXkesP-P7JHuemnE6QJIa-Nlw/edit?usp=sharing"",""บุรีรัมย์!J220"")+IMPORTRANGE(""https://docs.google.com/spreadsheets/d/1l6IZ8xUPgMrESzc"&amp;"TYwhA1k_tPjeQjJPTqlm8Gd9eU5g/edit?usp=sharing"",""มหาสารคาม!J220"")+IMPORTRANGE(""https://docs.google.com/spreadsheets/d/1uB74YLqNjWX6FObjekfB2NtSYigTQyR2rq9u4Ub2Sq4/edit?usp=sharing"",""มุกดาหาร!J220"")+IMPORTRANGE(""https://docs.google.com/spreadsheets/"&amp;"d/1NexK3geCPxCTO1fzNF8dPec7yZyUx3OaWkFBC9HsQOo/edit?usp=sharing"",""ยโสธร!J220"")+IMPORTRANGE(""https://docs.google.com/spreadsheets/d/1v_cJrbBlyqmnHPReHk44g9NrMRdENNlSy_E_c5M9fIg/edit?usp=sharing"",""ร้อยเอ็ด!J220"")+IMPORTRANGE(""https://docs.google.com"&amp;"/spreadsheets/d/1Ul4RCpCX66NxYADU1QpwAPjOmBzW64SsT11s1wzXw_c/edit?usp=sharing"",""เลย!J220"")+IMPORTRANGE(""https://docs.google.com/spreadsheets/d/1bRrNKwbHDVktQG10isr5vbWRtt5spIZPpkOSWgbT5ug/edit?usp=sharing"",""ศรีสะเกษ!J220"")+IMPORTRANGE(""https://doc"&amp;"s.google.com/spreadsheets/d/17P34_Ow5kFBfdQD0qspb2UuPX5zpi6WMrQzslghyvrI/edit?usp=sharing"",""สกลนคร!J220"")+IMPORTRANGE(""https://docs.google.com/spreadsheets/d/1yswqbM3-AEpThF3ZSUa1AcmHnmRTF1vlJ1CZGcJ8YuU/edit?usp=sharing"",""สุรินทร์!J220"")+IMPORTRANG"&amp;"E(""https://docs.google.com/spreadsheets/d/13JHU_EFbsQOUQ0JSQ3dWy1VTRosIWcDq6Nc99z2qzdc/edit?usp=sharing"",""หนองคาย!J220"")+IMPORTRANGE(""https://docs.google.com/spreadsheets/d/1Hx73zIEgVdDZZaYSTc46Dqv64atFhpr3GelxLbaIN8A/edit?usp=sharing"",""หนองบัวลำภู"&amp;"!J220"")+IMPORTRANGE(""https://docs.google.com/spreadsheets/d/1lFxr3ctmjFN90yc-xV6jrQ9Ty8BKYVBWnAZ15wcNIJc/edit?usp=sharing"",""อำนาจเจริญ!J220"")+IMPORTRANGE(""https://docs.google.com/spreadsheets/d/1gF7RJpRnL-1oyjyeWxs5SFWEH7y8ahOZsQlyp2A2e-A/edit?usp=s"&amp;"haring"",""อุดรธานี!J220"")+IMPORTRANGE(""https://docs.google.com/spreadsheets/d/1kfLP0j3INXRa8bTDpcEmoWewMBV61jlFlfzczfjWIgc/edit?usp=sharing"",""อุบลราชธานี!J220"")"),0)</f>
        <v>0</v>
      </c>
      <c r="K220" s="59">
        <f t="shared" ca="1" si="103"/>
        <v>0</v>
      </c>
      <c r="L220" s="58"/>
      <c r="M220" s="58"/>
      <c r="N220" s="58"/>
      <c r="O220" s="58"/>
      <c r="P220" s="58"/>
    </row>
    <row r="221" spans="1:16" ht="19.5" x14ac:dyDescent="0.3">
      <c r="A221" s="279"/>
      <c r="B221" s="280"/>
      <c r="C221" s="281" t="s">
        <v>92</v>
      </c>
      <c r="D221" s="282"/>
      <c r="E221" s="282"/>
      <c r="F221" s="282"/>
      <c r="G221" s="283"/>
      <c r="H221" s="284" t="s">
        <v>93</v>
      </c>
      <c r="I221" s="285">
        <f t="shared" ref="I221:J221" ca="1" si="104">I229</f>
        <v>887800</v>
      </c>
      <c r="J221" s="285">
        <f t="shared" ca="1" si="104"/>
        <v>0</v>
      </c>
      <c r="K221" s="286">
        <f t="shared" ca="1" si="103"/>
        <v>0</v>
      </c>
      <c r="L221" s="287"/>
      <c r="M221" s="287"/>
      <c r="N221" s="287"/>
      <c r="O221" s="287"/>
      <c r="P221" s="287"/>
    </row>
    <row r="222" spans="1:16" ht="19.5" x14ac:dyDescent="0.3">
      <c r="A222" s="157"/>
      <c r="B222" s="53"/>
      <c r="C222" s="158" t="s">
        <v>16</v>
      </c>
      <c r="D222" s="288" t="s">
        <v>17</v>
      </c>
      <c r="E222" s="53"/>
      <c r="F222" s="53"/>
      <c r="G222" s="55"/>
      <c r="H222" s="289" t="s">
        <v>12</v>
      </c>
      <c r="I222" s="164"/>
      <c r="J222" s="164"/>
      <c r="K222" s="165"/>
      <c r="L222" s="161">
        <f ca="1">L223+L224+L225</f>
        <v>154000</v>
      </c>
      <c r="M222" s="58"/>
      <c r="N222" s="161">
        <f ca="1">N223+N224+N225</f>
        <v>0</v>
      </c>
      <c r="O222" s="161">
        <f ca="1">IF(L222&gt;0,N222*100/L222,0)</f>
        <v>0</v>
      </c>
      <c r="P222" s="161"/>
    </row>
    <row r="223" spans="1:16" ht="18.75" x14ac:dyDescent="0.25">
      <c r="A223" s="157"/>
      <c r="B223" s="278"/>
      <c r="C223" s="53"/>
      <c r="D223" s="60" t="s">
        <v>80</v>
      </c>
      <c r="E223" s="53"/>
      <c r="F223" s="53"/>
      <c r="G223" s="55"/>
      <c r="H223" s="163" t="s">
        <v>12</v>
      </c>
      <c r="I223" s="164"/>
      <c r="J223" s="164"/>
      <c r="K223" s="165"/>
      <c r="L223" s="59">
        <f ca="1">IFERROR(__xludf.DUMMYFUNCTION("IMPORTRANGE(""https://docs.google.com/spreadsheets/d/1yhBcrRPreicbMKl9Bu_Snb2-OcQAF62RKfhTLhJ2eAA/edit?usp=sharing"",""กาฬสินธุ์!L223"")+IMPORTRANGE(""https://docs.google.com/spreadsheets/d/1aHkj4IaQMThhwWwevcOymEh837vdxeC_PycurhTbGFA/edit?usp=sharing"","&amp;"""ขอนแก่น!L223"")+IMPORTRANGE(""https://docs.google.com/spreadsheets/d/1FvTu2DsIWUjP6WCWra38Bkj_oOl_sOMf14r5Fg5srxU/edit?usp=sharing"",""ชัยภูมิ!L223"")+IMPORTRANGE(""https://docs.google.com/spreadsheets/d/1XVB7oCJ3pr-vBUdflwPQ8Z2LlzhnCvZaaYjAfP-647E/edit"&amp;"?usp=sharing"",""นครพนม!L223"")+IMPORTRANGE(""https://docs.google.com/spreadsheets/d/1Mnpb-8PYAgn85W6KOTD40hc_Xc55CaLfHoGAbrZ8tls/edit?usp=sharing"",""นครราชสีมา!L223"")+IMPORTRANGE(""https://docs.google.com/spreadsheets/d/1xoDLGBv9CYbyosIhki0kTq6IpYNj-gp"&amp;"jxfobnaDiut0/edit?usp=sharing"",""บึงกาฬ!L223"")+IMPORTRANGE(""https://docs.google.com/spreadsheets/d/1MMPq-JyI6DSgQETxuSiXkesP-P7JHuemnE6QJIa-Nlw/edit?usp=sharing"",""บุรีรัมย์!L223"")+IMPORTRANGE(""https://docs.google.com/spreadsheets/d/1l6IZ8xUPgMrESzc"&amp;"TYwhA1k_tPjeQjJPTqlm8Gd9eU5g/edit?usp=sharing"",""มหาสารคาม!L223"")+IMPORTRANGE(""https://docs.google.com/spreadsheets/d/1uB74YLqNjWX6FObjekfB2NtSYigTQyR2rq9u4Ub2Sq4/edit?usp=sharing"",""มุกดาหาร!L223"")+IMPORTRANGE(""https://docs.google.com/spreadsheets/"&amp;"d/1NexK3geCPxCTO1fzNF8dPec7yZyUx3OaWkFBC9HsQOo/edit?usp=sharing"",""ยโสธร!L223"")+IMPORTRANGE(""https://docs.google.com/spreadsheets/d/1v_cJrbBlyqmnHPReHk44g9NrMRdENNlSy_E_c5M9fIg/edit?usp=sharing"",""ร้อยเอ็ด!L223"")+IMPORTRANGE(""https://docs.google.com"&amp;"/spreadsheets/d/1Ul4RCpCX66NxYADU1QpwAPjOmBzW64SsT11s1wzXw_c/edit?usp=sharing"",""เลย!L223"")+IMPORTRANGE(""https://docs.google.com/spreadsheets/d/1bRrNKwbHDVktQG10isr5vbWRtt5spIZPpkOSWgbT5ug/edit?usp=sharing"",""ศรีสะเกษ!L223"")+IMPORTRANGE(""https://doc"&amp;"s.google.com/spreadsheets/d/17P34_Ow5kFBfdQD0qspb2UuPX5zpi6WMrQzslghyvrI/edit?usp=sharing"",""สกลนคร!L223"")+IMPORTRANGE(""https://docs.google.com/spreadsheets/d/1yswqbM3-AEpThF3ZSUa1AcmHnmRTF1vlJ1CZGcJ8YuU/edit?usp=sharing"",""สุรินทร์!L223"")+IMPORTRANG"&amp;"E(""https://docs.google.com/spreadsheets/d/13JHU_EFbsQOUQ0JSQ3dWy1VTRosIWcDq6Nc99z2qzdc/edit?usp=sharing"",""หนองคาย!L223"")+IMPORTRANGE(""https://docs.google.com/spreadsheets/d/1Hx73zIEgVdDZZaYSTc46Dqv64atFhpr3GelxLbaIN8A/edit?usp=sharing"",""หนองบัวลำภู"&amp;"!L223"")+IMPORTRANGE(""https://docs.google.com/spreadsheets/d/1lFxr3ctmjFN90yc-xV6jrQ9Ty8BKYVBWnAZ15wcNIJc/edit?usp=sharing"",""อำนาจเจริญ!L223"")+IMPORTRANGE(""https://docs.google.com/spreadsheets/d/1gF7RJpRnL-1oyjyeWxs5SFWEH7y8ahOZsQlyp2A2e-A/edit?usp=s"&amp;"haring"",""อุดรธานี!L223"")+IMPORTRANGE(""https://docs.google.com/spreadsheets/d/1kfLP0j3INXRa8bTDpcEmoWewMBV61jlFlfzczfjWIgc/edit?usp=sharing"",""อุบลราชธานี!L223"")"),124000)</f>
        <v>124000</v>
      </c>
      <c r="M223" s="58"/>
      <c r="N223" s="59">
        <f ca="1">IFERROR(__xludf.DUMMYFUNCTION("IMPORTRANGE(""https://docs.google.com/spreadsheets/d/1yhBcrRPreicbMKl9Bu_Snb2-OcQAF62RKfhTLhJ2eAA/edit?usp=sharing"",""กาฬสินธุ์!N223"")+IMPORTRANGE(""https://docs.google.com/spreadsheets/d/1aHkj4IaQMThhwWwevcOymEh837vdxeC_PycurhTbGFA/edit?usp=sharing"","&amp;"""ขอนแก่น!N223"")+IMPORTRANGE(""https://docs.google.com/spreadsheets/d/1FvTu2DsIWUjP6WCWra38Bkj_oOl_sOMf14r5Fg5srxU/edit?usp=sharing"",""ชัยภูมิ!N223"")+IMPORTRANGE(""https://docs.google.com/spreadsheets/d/1XVB7oCJ3pr-vBUdflwPQ8Z2LlzhnCvZaaYjAfP-647E/edit"&amp;"?usp=sharing"",""นครพนม!N223"")+IMPORTRANGE(""https://docs.google.com/spreadsheets/d/1Mnpb-8PYAgn85W6KOTD40hc_Xc55CaLfHoGAbrZ8tls/edit?usp=sharing"",""นครราชสีมา!N223"")+IMPORTRANGE(""https://docs.google.com/spreadsheets/d/1xoDLGBv9CYbyosIhki0kTq6IpYNj-gp"&amp;"jxfobnaDiut0/edit?usp=sharing"",""บึงกาฬ!N223"")+IMPORTRANGE(""https://docs.google.com/spreadsheets/d/1MMPq-JyI6DSgQETxuSiXkesP-P7JHuemnE6QJIa-Nlw/edit?usp=sharing"",""บุรีรัมย์!N223"")+IMPORTRANGE(""https://docs.google.com/spreadsheets/d/1l6IZ8xUPgMrESzc"&amp;"TYwhA1k_tPjeQjJPTqlm8Gd9eU5g/edit?usp=sharing"",""มหาสารคาม!N223"")+IMPORTRANGE(""https://docs.google.com/spreadsheets/d/1uB74YLqNjWX6FObjekfB2NtSYigTQyR2rq9u4Ub2Sq4/edit?usp=sharing"",""มุกดาหาร!N223"")+IMPORTRANGE(""https://docs.google.com/spreadsheets/"&amp;"d/1NexK3geCPxCTO1fzNF8dPec7yZyUx3OaWkFBC9HsQOo/edit?usp=sharing"",""ยโสธร!N223"")+IMPORTRANGE(""https://docs.google.com/spreadsheets/d/1v_cJrbBlyqmnHPReHk44g9NrMRdENNlSy_E_c5M9fIg/edit?usp=sharing"",""ร้อยเอ็ด!N223"")+IMPORTRANGE(""https://docs.google.com"&amp;"/spreadsheets/d/1Ul4RCpCX66NxYADU1QpwAPjOmBzW64SsT11s1wzXw_c/edit?usp=sharing"",""เลย!N223"")+IMPORTRANGE(""https://docs.google.com/spreadsheets/d/1bRrNKwbHDVktQG10isr5vbWRtt5spIZPpkOSWgbT5ug/edit?usp=sharing"",""ศรีสะเกษ!N223"")+IMPORTRANGE(""https://doc"&amp;"s.google.com/spreadsheets/d/17P34_Ow5kFBfdQD0qspb2UuPX5zpi6WMrQzslghyvrI/edit?usp=sharing"",""สกลนคร!N223"")+IMPORTRANGE(""https://docs.google.com/spreadsheets/d/1yswqbM3-AEpThF3ZSUa1AcmHnmRTF1vlJ1CZGcJ8YuU/edit?usp=sharing"",""สุรินทร์!N223"")+IMPORTRANG"&amp;"E(""https://docs.google.com/spreadsheets/d/13JHU_EFbsQOUQ0JSQ3dWy1VTRosIWcDq6Nc99z2qzdc/edit?usp=sharing"",""หนองคาย!N223"")+IMPORTRANGE(""https://docs.google.com/spreadsheets/d/1Hx73zIEgVdDZZaYSTc46Dqv64atFhpr3GelxLbaIN8A/edit?usp=sharing"",""หนองบัวลำภู"&amp;"!N223"")+IMPORTRANGE(""https://docs.google.com/spreadsheets/d/1lFxr3ctmjFN90yc-xV6jrQ9Ty8BKYVBWnAZ15wcNIJc/edit?usp=sharing"",""อำนาจเจริญ!N223"")+IMPORTRANGE(""https://docs.google.com/spreadsheets/d/1gF7RJpRnL-1oyjyeWxs5SFWEH7y8ahOZsQlyp2A2e-A/edit?usp=s"&amp;"haring"",""อุดรธานี!N223"")+IMPORTRANGE(""https://docs.google.com/spreadsheets/d/1kfLP0j3INXRa8bTDpcEmoWewMBV61jlFlfzczfjWIgc/edit?usp=sharing"",""อุบลราชธานี!N223"")"),0)</f>
        <v>0</v>
      </c>
      <c r="O223" s="182"/>
      <c r="P223" s="58"/>
    </row>
    <row r="224" spans="1:16" ht="18.75" x14ac:dyDescent="0.25">
      <c r="A224" s="274"/>
      <c r="B224" s="278"/>
      <c r="C224" s="278"/>
      <c r="D224" s="60" t="s">
        <v>94</v>
      </c>
      <c r="E224" s="53"/>
      <c r="F224" s="53"/>
      <c r="G224" s="55"/>
      <c r="H224" s="163" t="s">
        <v>12</v>
      </c>
      <c r="I224" s="57"/>
      <c r="J224" s="57"/>
      <c r="K224" s="58"/>
      <c r="L224" s="59">
        <f ca="1">IFERROR(__xludf.DUMMYFUNCTION("IMPORTRANGE(""https://docs.google.com/spreadsheets/d/1yhBcrRPreicbMKl9Bu_Snb2-OcQAF62RKfhTLhJ2eAA/edit?usp=sharing"",""กาฬสินธุ์!L224"")+IMPORTRANGE(""https://docs.google.com/spreadsheets/d/1aHkj4IaQMThhwWwevcOymEh837vdxeC_PycurhTbGFA/edit?usp=sharing"","&amp;"""ขอนแก่น!L224"")+IMPORTRANGE(""https://docs.google.com/spreadsheets/d/1FvTu2DsIWUjP6WCWra38Bkj_oOl_sOMf14r5Fg5srxU/edit?usp=sharing"",""ชัยภูมิ!L224"")+IMPORTRANGE(""https://docs.google.com/spreadsheets/d/1XVB7oCJ3pr-vBUdflwPQ8Z2LlzhnCvZaaYjAfP-647E/edit"&amp;"?usp=sharing"",""นครพนม!L224"")+IMPORTRANGE(""https://docs.google.com/spreadsheets/d/1Mnpb-8PYAgn85W6KOTD40hc_Xc55CaLfHoGAbrZ8tls/edit?usp=sharing"",""นครราชสีมา!L224"")+IMPORTRANGE(""https://docs.google.com/spreadsheets/d/1xoDLGBv9CYbyosIhki0kTq6IpYNj-gp"&amp;"jxfobnaDiut0/edit?usp=sharing"",""บึงกาฬ!L224"")+IMPORTRANGE(""https://docs.google.com/spreadsheets/d/1MMPq-JyI6DSgQETxuSiXkesP-P7JHuemnE6QJIa-Nlw/edit?usp=sharing"",""บุรีรัมย์!L224"")+IMPORTRANGE(""https://docs.google.com/spreadsheets/d/1l6IZ8xUPgMrESzc"&amp;"TYwhA1k_tPjeQjJPTqlm8Gd9eU5g/edit?usp=sharing"",""มหาสารคาม!L224"")+IMPORTRANGE(""https://docs.google.com/spreadsheets/d/1uB74YLqNjWX6FObjekfB2NtSYigTQyR2rq9u4Ub2Sq4/edit?usp=sharing"",""มุกดาหาร!L224"")+IMPORTRANGE(""https://docs.google.com/spreadsheets/"&amp;"d/1NexK3geCPxCTO1fzNF8dPec7yZyUx3OaWkFBC9HsQOo/edit?usp=sharing"",""ยโสธร!L224"")+IMPORTRANGE(""https://docs.google.com/spreadsheets/d/1v_cJrbBlyqmnHPReHk44g9NrMRdENNlSy_E_c5M9fIg/edit?usp=sharing"",""ร้อยเอ็ด!L224"")+IMPORTRANGE(""https://docs.google.com"&amp;"/spreadsheets/d/1Ul4RCpCX66NxYADU1QpwAPjOmBzW64SsT11s1wzXw_c/edit?usp=sharing"",""เลย!L224"")+IMPORTRANGE(""https://docs.google.com/spreadsheets/d/1bRrNKwbHDVktQG10isr5vbWRtt5spIZPpkOSWgbT5ug/edit?usp=sharing"",""ศรีสะเกษ!L224"")+IMPORTRANGE(""https://doc"&amp;"s.google.com/spreadsheets/d/17P34_Ow5kFBfdQD0qspb2UuPX5zpi6WMrQzslghyvrI/edit?usp=sharing"",""สกลนคร!L224"")+IMPORTRANGE(""https://docs.google.com/spreadsheets/d/1yswqbM3-AEpThF3ZSUa1AcmHnmRTF1vlJ1CZGcJ8YuU/edit?usp=sharing"",""สุรินทร์!L224"")+IMPORTRANG"&amp;"E(""https://docs.google.com/spreadsheets/d/13JHU_EFbsQOUQ0JSQ3dWy1VTRosIWcDq6Nc99z2qzdc/edit?usp=sharing"",""หนองคาย!L224"")+IMPORTRANGE(""https://docs.google.com/spreadsheets/d/1Hx73zIEgVdDZZaYSTc46Dqv64atFhpr3GelxLbaIN8A/edit?usp=sharing"",""หนองบัวลำภู"&amp;"!L224"")+IMPORTRANGE(""https://docs.google.com/spreadsheets/d/1lFxr3ctmjFN90yc-xV6jrQ9Ty8BKYVBWnAZ15wcNIJc/edit?usp=sharing"",""อำนาจเจริญ!L224"")+IMPORTRANGE(""https://docs.google.com/spreadsheets/d/1gF7RJpRnL-1oyjyeWxs5SFWEH7y8ahOZsQlyp2A2e-A/edit?usp=s"&amp;"haring"",""อุดรธานี!L224"")+IMPORTRANGE(""https://docs.google.com/spreadsheets/d/1kfLP0j3INXRa8bTDpcEmoWewMBV61jlFlfzczfjWIgc/edit?usp=sharing"",""อุบลราชธานี!L224"")"),30000)</f>
        <v>30000</v>
      </c>
      <c r="M224" s="58"/>
      <c r="N224" s="59">
        <f ca="1">IFERROR(__xludf.DUMMYFUNCTION("IMPORTRANGE(""https://docs.google.com/spreadsheets/d/1yhBcrRPreicbMKl9Bu_Snb2-OcQAF62RKfhTLhJ2eAA/edit?usp=sharing"",""กาฬสินธุ์!N224"")+IMPORTRANGE(""https://docs.google.com/spreadsheets/d/1aHkj4IaQMThhwWwevcOymEh837vdxeC_PycurhTbGFA/edit?usp=sharing"","&amp;"""ขอนแก่น!N224"")+IMPORTRANGE(""https://docs.google.com/spreadsheets/d/1FvTu2DsIWUjP6WCWra38Bkj_oOl_sOMf14r5Fg5srxU/edit?usp=sharing"",""ชัยภูมิ!N224"")+IMPORTRANGE(""https://docs.google.com/spreadsheets/d/1XVB7oCJ3pr-vBUdflwPQ8Z2LlzhnCvZaaYjAfP-647E/edit"&amp;"?usp=sharing"",""นครพนม!N224"")+IMPORTRANGE(""https://docs.google.com/spreadsheets/d/1Mnpb-8PYAgn85W6KOTD40hc_Xc55CaLfHoGAbrZ8tls/edit?usp=sharing"",""นครราชสีมา!N224"")+IMPORTRANGE(""https://docs.google.com/spreadsheets/d/1xoDLGBv9CYbyosIhki0kTq6IpYNj-gp"&amp;"jxfobnaDiut0/edit?usp=sharing"",""บึงกาฬ!N224"")+IMPORTRANGE(""https://docs.google.com/spreadsheets/d/1MMPq-JyI6DSgQETxuSiXkesP-P7JHuemnE6QJIa-Nlw/edit?usp=sharing"",""บุรีรัมย์!N224"")+IMPORTRANGE(""https://docs.google.com/spreadsheets/d/1l6IZ8xUPgMrESzc"&amp;"TYwhA1k_tPjeQjJPTqlm8Gd9eU5g/edit?usp=sharing"",""มหาสารคาม!N224"")+IMPORTRANGE(""https://docs.google.com/spreadsheets/d/1uB74YLqNjWX6FObjekfB2NtSYigTQyR2rq9u4Ub2Sq4/edit?usp=sharing"",""มุกดาหาร!N224"")+IMPORTRANGE(""https://docs.google.com/spreadsheets/"&amp;"d/1NexK3geCPxCTO1fzNF8dPec7yZyUx3OaWkFBC9HsQOo/edit?usp=sharing"",""ยโสธร!N224"")+IMPORTRANGE(""https://docs.google.com/spreadsheets/d/1v_cJrbBlyqmnHPReHk44g9NrMRdENNlSy_E_c5M9fIg/edit?usp=sharing"",""ร้อยเอ็ด!N224"")+IMPORTRANGE(""https://docs.google.com"&amp;"/spreadsheets/d/1Ul4RCpCX66NxYADU1QpwAPjOmBzW64SsT11s1wzXw_c/edit?usp=sharing"",""เลย!N224"")+IMPORTRANGE(""https://docs.google.com/spreadsheets/d/1bRrNKwbHDVktQG10isr5vbWRtt5spIZPpkOSWgbT5ug/edit?usp=sharing"",""ศรีสะเกษ!N224"")+IMPORTRANGE(""https://doc"&amp;"s.google.com/spreadsheets/d/17P34_Ow5kFBfdQD0qspb2UuPX5zpi6WMrQzslghyvrI/edit?usp=sharing"",""สกลนคร!N224"")+IMPORTRANGE(""https://docs.google.com/spreadsheets/d/1yswqbM3-AEpThF3ZSUa1AcmHnmRTF1vlJ1CZGcJ8YuU/edit?usp=sharing"",""สุรินทร์!N224"")+IMPORTRANG"&amp;"E(""https://docs.google.com/spreadsheets/d/13JHU_EFbsQOUQ0JSQ3dWy1VTRosIWcDq6Nc99z2qzdc/edit?usp=sharing"",""หนองคาย!N224"")+IMPORTRANGE(""https://docs.google.com/spreadsheets/d/1Hx73zIEgVdDZZaYSTc46Dqv64atFhpr3GelxLbaIN8A/edit?usp=sharing"",""หนองบัวลำภู"&amp;"!N224"")+IMPORTRANGE(""https://docs.google.com/spreadsheets/d/1lFxr3ctmjFN90yc-xV6jrQ9Ty8BKYVBWnAZ15wcNIJc/edit?usp=sharing"",""อำนาจเจริญ!N224"")+IMPORTRANGE(""https://docs.google.com/spreadsheets/d/1gF7RJpRnL-1oyjyeWxs5SFWEH7y8ahOZsQlyp2A2e-A/edit?usp=s"&amp;"haring"",""อุดรธานี!N224"")+IMPORTRANGE(""https://docs.google.com/spreadsheets/d/1kfLP0j3INXRa8bTDpcEmoWewMBV61jlFlfzczfjWIgc/edit?usp=sharing"",""อุบลราชธานี!N224"")"),0)</f>
        <v>0</v>
      </c>
      <c r="O224" s="182"/>
      <c r="P224" s="58"/>
    </row>
    <row r="225" spans="1:16" ht="18.75" hidden="1" x14ac:dyDescent="0.25">
      <c r="A225" s="297"/>
      <c r="B225" s="298"/>
      <c r="C225" s="298"/>
      <c r="D225" s="299"/>
      <c r="E225" s="300"/>
      <c r="F225" s="300"/>
      <c r="G225" s="301"/>
      <c r="H225" s="302"/>
      <c r="I225" s="303"/>
      <c r="J225" s="303"/>
      <c r="K225" s="304"/>
      <c r="L225" s="305"/>
      <c r="M225" s="304"/>
      <c r="N225" s="305"/>
      <c r="O225" s="305"/>
      <c r="P225" s="304"/>
    </row>
    <row r="226" spans="1:16" ht="19.5" x14ac:dyDescent="0.3">
      <c r="A226" s="167"/>
      <c r="B226" s="168"/>
      <c r="C226" s="296" t="s">
        <v>16</v>
      </c>
      <c r="D226" s="169" t="s">
        <v>36</v>
      </c>
      <c r="E226" s="170"/>
      <c r="F226" s="170"/>
      <c r="G226" s="171"/>
      <c r="H226" s="172"/>
      <c r="I226" s="164"/>
      <c r="J226" s="164"/>
      <c r="K226" s="165"/>
      <c r="L226" s="165"/>
      <c r="M226" s="165"/>
      <c r="N226" s="165"/>
      <c r="O226" s="165"/>
      <c r="P226" s="165"/>
    </row>
    <row r="227" spans="1:16" ht="18.75" x14ac:dyDescent="0.25">
      <c r="A227" s="167"/>
      <c r="B227" s="168"/>
      <c r="C227" s="168"/>
      <c r="D227" s="60" t="s">
        <v>95</v>
      </c>
      <c r="E227" s="174"/>
      <c r="F227" s="174"/>
      <c r="G227" s="172"/>
      <c r="H227" s="172"/>
      <c r="I227" s="57"/>
      <c r="J227" s="57"/>
      <c r="K227" s="165"/>
      <c r="L227" s="165"/>
      <c r="M227" s="165"/>
      <c r="N227" s="165"/>
      <c r="O227" s="165"/>
      <c r="P227" s="165"/>
    </row>
    <row r="228" spans="1:16" ht="18.75" x14ac:dyDescent="0.25">
      <c r="A228" s="167"/>
      <c r="B228" s="168"/>
      <c r="C228" s="168"/>
      <c r="D228" s="168"/>
      <c r="E228" s="173" t="s">
        <v>96</v>
      </c>
      <c r="F228" s="174"/>
      <c r="G228" s="172"/>
      <c r="H228" s="179" t="s">
        <v>93</v>
      </c>
      <c r="I228" s="194">
        <f ca="1">IFERROR(__xludf.DUMMYFUNCTION("IMPORTRANGE(""https://docs.google.com/spreadsheets/d/1yhBcrRPreicbMKl9Bu_Snb2-OcQAF62RKfhTLhJ2eAA/edit?usp=sharing"",""กาฬสินธุ์!I228"")+IMPORTRANGE(""https://docs.google.com/spreadsheets/d/1aHkj4IaQMThhwWwevcOymEh837vdxeC_PycurhTbGFA/edit?usp=sharing"","&amp;"""ขอนแก่น!I228"")+IMPORTRANGE(""https://docs.google.com/spreadsheets/d/1FvTu2DsIWUjP6WCWra38Bkj_oOl_sOMf14r5Fg5srxU/edit?usp=sharing"",""ชัยภูมิ!I228"")+IMPORTRANGE(""https://docs.google.com/spreadsheets/d/1XVB7oCJ3pr-vBUdflwPQ8Z2LlzhnCvZaaYjAfP-647E/edit"&amp;"?usp=sharing"",""นครพนม!I228"")+IMPORTRANGE(""https://docs.google.com/spreadsheets/d/1Mnpb-8PYAgn85W6KOTD40hc_Xc55CaLfHoGAbrZ8tls/edit?usp=sharing"",""นครราชสีมา!I228"")+IMPORTRANGE(""https://docs.google.com/spreadsheets/d/1xoDLGBv9CYbyosIhki0kTq6IpYNj-gp"&amp;"jxfobnaDiut0/edit?usp=sharing"",""บึงกาฬ!I228"")+IMPORTRANGE(""https://docs.google.com/spreadsheets/d/1MMPq-JyI6DSgQETxuSiXkesP-P7JHuemnE6QJIa-Nlw/edit?usp=sharing"",""บุรีรัมย์!I228"")+IMPORTRANGE(""https://docs.google.com/spreadsheets/d/1l6IZ8xUPgMrESzc"&amp;"TYwhA1k_tPjeQjJPTqlm8Gd9eU5g/edit?usp=sharing"",""มหาสารคาม!I228"")+IMPORTRANGE(""https://docs.google.com/spreadsheets/d/1uB74YLqNjWX6FObjekfB2NtSYigTQyR2rq9u4Ub2Sq4/edit?usp=sharing"",""มุกดาหาร!I228"")+IMPORTRANGE(""https://docs.google.com/spreadsheets/"&amp;"d/1NexK3geCPxCTO1fzNF8dPec7yZyUx3OaWkFBC9HsQOo/edit?usp=sharing"",""ยโสธร!I228"")+IMPORTRANGE(""https://docs.google.com/spreadsheets/d/1v_cJrbBlyqmnHPReHk44g9NrMRdENNlSy_E_c5M9fIg/edit?usp=sharing"",""ร้อยเอ็ด!I228"")+IMPORTRANGE(""https://docs.google.com"&amp;"/spreadsheets/d/1Ul4RCpCX66NxYADU1QpwAPjOmBzW64SsT11s1wzXw_c/edit?usp=sharing"",""เลย!I228"")+IMPORTRANGE(""https://docs.google.com/spreadsheets/d/1bRrNKwbHDVktQG10isr5vbWRtt5spIZPpkOSWgbT5ug/edit?usp=sharing"",""ศรีสะเกษ!I228"")+IMPORTRANGE(""https://doc"&amp;"s.google.com/spreadsheets/d/17P34_Ow5kFBfdQD0qspb2UuPX5zpi6WMrQzslghyvrI/edit?usp=sharing"",""สกลนคร!I228"")+IMPORTRANGE(""https://docs.google.com/spreadsheets/d/1yswqbM3-AEpThF3ZSUa1AcmHnmRTF1vlJ1CZGcJ8YuU/edit?usp=sharing"",""สุรินทร์!I228"")+IMPORTRANG"&amp;"E(""https://docs.google.com/spreadsheets/d/13JHU_EFbsQOUQ0JSQ3dWy1VTRosIWcDq6Nc99z2qzdc/edit?usp=sharing"",""หนองคาย!I228"")+IMPORTRANGE(""https://docs.google.com/spreadsheets/d/1Hx73zIEgVdDZZaYSTc46Dqv64atFhpr3GelxLbaIN8A/edit?usp=sharing"",""หนองบัวลำภู"&amp;"!I228"")+IMPORTRANGE(""https://docs.google.com/spreadsheets/d/1lFxr3ctmjFN90yc-xV6jrQ9Ty8BKYVBWnAZ15wcNIJc/edit?usp=sharing"",""อำนาจเจริญ!I228"")+IMPORTRANGE(""https://docs.google.com/spreadsheets/d/1gF7RJpRnL-1oyjyeWxs5SFWEH7y8ahOZsQlyp2A2e-A/edit?usp=s"&amp;"haring"",""อุดรธานี!I228"")+IMPORTRANGE(""https://docs.google.com/spreadsheets/d/1kfLP0j3INXRa8bTDpcEmoWewMBV61jlFlfzczfjWIgc/edit?usp=sharing"",""อุบลราชธานี!I228"")"),887800)</f>
        <v>887800</v>
      </c>
      <c r="J228" s="181">
        <f ca="1">IFERROR(__xludf.DUMMYFUNCTION("IMPORTRANGE(""https://docs.google.com/spreadsheets/d/1yhBcrRPreicbMKl9Bu_Snb2-OcQAF62RKfhTLhJ2eAA/edit?usp=sharing"",""กาฬสินธุ์!J228"")+IMPORTRANGE(""https://docs.google.com/spreadsheets/d/1aHkj4IaQMThhwWwevcOymEh837vdxeC_PycurhTbGFA/edit?usp=sharing"","&amp;"""ขอนแก่น!J228"")+IMPORTRANGE(""https://docs.google.com/spreadsheets/d/1FvTu2DsIWUjP6WCWra38Bkj_oOl_sOMf14r5Fg5srxU/edit?usp=sharing"",""ชัยภูมิ!J228"")+IMPORTRANGE(""https://docs.google.com/spreadsheets/d/1XVB7oCJ3pr-vBUdflwPQ8Z2LlzhnCvZaaYjAfP-647E/edit"&amp;"?usp=sharing"",""นครพนม!J228"")+IMPORTRANGE(""https://docs.google.com/spreadsheets/d/1Mnpb-8PYAgn85W6KOTD40hc_Xc55CaLfHoGAbrZ8tls/edit?usp=sharing"",""นครราชสีมา!J228"")+IMPORTRANGE(""https://docs.google.com/spreadsheets/d/1xoDLGBv9CYbyosIhki0kTq6IpYNj-gp"&amp;"jxfobnaDiut0/edit?usp=sharing"",""บึงกาฬ!J228"")+IMPORTRANGE(""https://docs.google.com/spreadsheets/d/1MMPq-JyI6DSgQETxuSiXkesP-P7JHuemnE6QJIa-Nlw/edit?usp=sharing"",""บุรีรัมย์!J228"")+IMPORTRANGE(""https://docs.google.com/spreadsheets/d/1l6IZ8xUPgMrESzc"&amp;"TYwhA1k_tPjeQjJPTqlm8Gd9eU5g/edit?usp=sharing"",""มหาสารคาม!J228"")+IMPORTRANGE(""https://docs.google.com/spreadsheets/d/1uB74YLqNjWX6FObjekfB2NtSYigTQyR2rq9u4Ub2Sq4/edit?usp=sharing"",""มุกดาหาร!J228"")+IMPORTRANGE(""https://docs.google.com/spreadsheets/"&amp;"d/1NexK3geCPxCTO1fzNF8dPec7yZyUx3OaWkFBC9HsQOo/edit?usp=sharing"",""ยโสธร!J228"")+IMPORTRANGE(""https://docs.google.com/spreadsheets/d/1v_cJrbBlyqmnHPReHk44g9NrMRdENNlSy_E_c5M9fIg/edit?usp=sharing"",""ร้อยเอ็ด!J228"")+IMPORTRANGE(""https://docs.google.com"&amp;"/spreadsheets/d/1Ul4RCpCX66NxYADU1QpwAPjOmBzW64SsT11s1wzXw_c/edit?usp=sharing"",""เลย!J228"")+IMPORTRANGE(""https://docs.google.com/spreadsheets/d/1bRrNKwbHDVktQG10isr5vbWRtt5spIZPpkOSWgbT5ug/edit?usp=sharing"",""ศรีสะเกษ!J228"")+IMPORTRANGE(""https://doc"&amp;"s.google.com/spreadsheets/d/17P34_Ow5kFBfdQD0qspb2UuPX5zpi6WMrQzslghyvrI/edit?usp=sharing"",""สกลนคร!J228"")+IMPORTRANGE(""https://docs.google.com/spreadsheets/d/1yswqbM3-AEpThF3ZSUa1AcmHnmRTF1vlJ1CZGcJ8YuU/edit?usp=sharing"",""สุรินทร์!J228"")+IMPORTRANG"&amp;"E(""https://docs.google.com/spreadsheets/d/13JHU_EFbsQOUQ0JSQ3dWy1VTRosIWcDq6Nc99z2qzdc/edit?usp=sharing"",""หนองคาย!J228"")+IMPORTRANGE(""https://docs.google.com/spreadsheets/d/1Hx73zIEgVdDZZaYSTc46Dqv64atFhpr3GelxLbaIN8A/edit?usp=sharing"",""หนองบัวลำภู"&amp;"!J228"")+IMPORTRANGE(""https://docs.google.com/spreadsheets/d/1lFxr3ctmjFN90yc-xV6jrQ9Ty8BKYVBWnAZ15wcNIJc/edit?usp=sharing"",""อำนาจเจริญ!J228"")+IMPORTRANGE(""https://docs.google.com/spreadsheets/d/1gF7RJpRnL-1oyjyeWxs5SFWEH7y8ahOZsQlyp2A2e-A/edit?usp=s"&amp;"haring"",""อุดรธานี!J228"")+IMPORTRANGE(""https://docs.google.com/spreadsheets/d/1kfLP0j3INXRa8bTDpcEmoWewMBV61jlFlfzczfjWIgc/edit?usp=sharing"",""อุบลราชธานี!J228"")"),0)</f>
        <v>0</v>
      </c>
      <c r="K228" s="182">
        <f t="shared" ref="K228:K231" ca="1" si="105">IF(I228&gt;0,J228*100/I228,0)</f>
        <v>0</v>
      </c>
      <c r="L228" s="165"/>
      <c r="M228" s="165"/>
      <c r="N228" s="165"/>
      <c r="O228" s="165"/>
      <c r="P228" s="165"/>
    </row>
    <row r="229" spans="1:16" ht="18.75" x14ac:dyDescent="0.25">
      <c r="A229" s="167"/>
      <c r="B229" s="168"/>
      <c r="C229" s="168"/>
      <c r="D229" s="168"/>
      <c r="E229" s="173" t="s">
        <v>97</v>
      </c>
      <c r="F229" s="174"/>
      <c r="G229" s="172"/>
      <c r="H229" s="179" t="s">
        <v>93</v>
      </c>
      <c r="I229" s="194">
        <f ca="1">IFERROR(__xludf.DUMMYFUNCTION("IMPORTRANGE(""https://docs.google.com/spreadsheets/d/1yhBcrRPreicbMKl9Bu_Snb2-OcQAF62RKfhTLhJ2eAA/edit?usp=sharing"",""กาฬสินธุ์!I229"")+IMPORTRANGE(""https://docs.google.com/spreadsheets/d/1aHkj4IaQMThhwWwevcOymEh837vdxeC_PycurhTbGFA/edit?usp=sharing"","&amp;"""ขอนแก่น!I229"")+IMPORTRANGE(""https://docs.google.com/spreadsheets/d/1FvTu2DsIWUjP6WCWra38Bkj_oOl_sOMf14r5Fg5srxU/edit?usp=sharing"",""ชัยภูมิ!I229"")+IMPORTRANGE(""https://docs.google.com/spreadsheets/d/1XVB7oCJ3pr-vBUdflwPQ8Z2LlzhnCvZaaYjAfP-647E/edit"&amp;"?usp=sharing"",""นครพนม!I229"")+IMPORTRANGE(""https://docs.google.com/spreadsheets/d/1Mnpb-8PYAgn85W6KOTD40hc_Xc55CaLfHoGAbrZ8tls/edit?usp=sharing"",""นครราชสีมา!I229"")+IMPORTRANGE(""https://docs.google.com/spreadsheets/d/1xoDLGBv9CYbyosIhki0kTq6IpYNj-gp"&amp;"jxfobnaDiut0/edit?usp=sharing"",""บึงกาฬ!I229"")+IMPORTRANGE(""https://docs.google.com/spreadsheets/d/1MMPq-JyI6DSgQETxuSiXkesP-P7JHuemnE6QJIa-Nlw/edit?usp=sharing"",""บุรีรัมย์!I229"")+IMPORTRANGE(""https://docs.google.com/spreadsheets/d/1l6IZ8xUPgMrESzc"&amp;"TYwhA1k_tPjeQjJPTqlm8Gd9eU5g/edit?usp=sharing"",""มหาสารคาม!I229"")+IMPORTRANGE(""https://docs.google.com/spreadsheets/d/1uB74YLqNjWX6FObjekfB2NtSYigTQyR2rq9u4Ub2Sq4/edit?usp=sharing"",""มุกดาหาร!I229"")+IMPORTRANGE(""https://docs.google.com/spreadsheets/"&amp;"d/1NexK3geCPxCTO1fzNF8dPec7yZyUx3OaWkFBC9HsQOo/edit?usp=sharing"",""ยโสธร!I229"")+IMPORTRANGE(""https://docs.google.com/spreadsheets/d/1v_cJrbBlyqmnHPReHk44g9NrMRdENNlSy_E_c5M9fIg/edit?usp=sharing"",""ร้อยเอ็ด!I229"")+IMPORTRANGE(""https://docs.google.com"&amp;"/spreadsheets/d/1Ul4RCpCX66NxYADU1QpwAPjOmBzW64SsT11s1wzXw_c/edit?usp=sharing"",""เลย!I229"")+IMPORTRANGE(""https://docs.google.com/spreadsheets/d/1bRrNKwbHDVktQG10isr5vbWRtt5spIZPpkOSWgbT5ug/edit?usp=sharing"",""ศรีสะเกษ!I229"")+IMPORTRANGE(""https://doc"&amp;"s.google.com/spreadsheets/d/17P34_Ow5kFBfdQD0qspb2UuPX5zpi6WMrQzslghyvrI/edit?usp=sharing"",""สกลนคร!I229"")+IMPORTRANGE(""https://docs.google.com/spreadsheets/d/1yswqbM3-AEpThF3ZSUa1AcmHnmRTF1vlJ1CZGcJ8YuU/edit?usp=sharing"",""สุรินทร์!I229"")+IMPORTRANG"&amp;"E(""https://docs.google.com/spreadsheets/d/13JHU_EFbsQOUQ0JSQ3dWy1VTRosIWcDq6Nc99z2qzdc/edit?usp=sharing"",""หนองคาย!I229"")+IMPORTRANGE(""https://docs.google.com/spreadsheets/d/1Hx73zIEgVdDZZaYSTc46Dqv64atFhpr3GelxLbaIN8A/edit?usp=sharing"",""หนองบัวลำภู"&amp;"!I229"")+IMPORTRANGE(""https://docs.google.com/spreadsheets/d/1lFxr3ctmjFN90yc-xV6jrQ9Ty8BKYVBWnAZ15wcNIJc/edit?usp=sharing"",""อำนาจเจริญ!I229"")+IMPORTRANGE(""https://docs.google.com/spreadsheets/d/1gF7RJpRnL-1oyjyeWxs5SFWEH7y8ahOZsQlyp2A2e-A/edit?usp=s"&amp;"haring"",""อุดรธานี!I229"")+IMPORTRANGE(""https://docs.google.com/spreadsheets/d/1kfLP0j3INXRa8bTDpcEmoWewMBV61jlFlfzczfjWIgc/edit?usp=sharing"",""อุบลราชธานี!I229"")"),887800)</f>
        <v>887800</v>
      </c>
      <c r="J229" s="181">
        <f ca="1">IFERROR(__xludf.DUMMYFUNCTION("IMPORTRANGE(""https://docs.google.com/spreadsheets/d/1yhBcrRPreicbMKl9Bu_Snb2-OcQAF62RKfhTLhJ2eAA/edit?usp=sharing"",""กาฬสินธุ์!J229"")+IMPORTRANGE(""https://docs.google.com/spreadsheets/d/1aHkj4IaQMThhwWwevcOymEh837vdxeC_PycurhTbGFA/edit?usp=sharing"","&amp;"""ขอนแก่น!J229"")+IMPORTRANGE(""https://docs.google.com/spreadsheets/d/1FvTu2DsIWUjP6WCWra38Bkj_oOl_sOMf14r5Fg5srxU/edit?usp=sharing"",""ชัยภูมิ!J229"")+IMPORTRANGE(""https://docs.google.com/spreadsheets/d/1XVB7oCJ3pr-vBUdflwPQ8Z2LlzhnCvZaaYjAfP-647E/edit"&amp;"?usp=sharing"",""นครพนม!J229"")+IMPORTRANGE(""https://docs.google.com/spreadsheets/d/1Mnpb-8PYAgn85W6KOTD40hc_Xc55CaLfHoGAbrZ8tls/edit?usp=sharing"",""นครราชสีมา!J229"")+IMPORTRANGE(""https://docs.google.com/spreadsheets/d/1xoDLGBv9CYbyosIhki0kTq6IpYNj-gp"&amp;"jxfobnaDiut0/edit?usp=sharing"",""บึงกาฬ!J229"")+IMPORTRANGE(""https://docs.google.com/spreadsheets/d/1MMPq-JyI6DSgQETxuSiXkesP-P7JHuemnE6QJIa-Nlw/edit?usp=sharing"",""บุรีรัมย์!J229"")+IMPORTRANGE(""https://docs.google.com/spreadsheets/d/1l6IZ8xUPgMrESzc"&amp;"TYwhA1k_tPjeQjJPTqlm8Gd9eU5g/edit?usp=sharing"",""มหาสารคาม!J229"")+IMPORTRANGE(""https://docs.google.com/spreadsheets/d/1uB74YLqNjWX6FObjekfB2NtSYigTQyR2rq9u4Ub2Sq4/edit?usp=sharing"",""มุกดาหาร!J229"")+IMPORTRANGE(""https://docs.google.com/spreadsheets/"&amp;"d/1NexK3geCPxCTO1fzNF8dPec7yZyUx3OaWkFBC9HsQOo/edit?usp=sharing"",""ยโสธร!J229"")+IMPORTRANGE(""https://docs.google.com/spreadsheets/d/1v_cJrbBlyqmnHPReHk44g9NrMRdENNlSy_E_c5M9fIg/edit?usp=sharing"",""ร้อยเอ็ด!J229"")+IMPORTRANGE(""https://docs.google.com"&amp;"/spreadsheets/d/1Ul4RCpCX66NxYADU1QpwAPjOmBzW64SsT11s1wzXw_c/edit?usp=sharing"",""เลย!J229"")+IMPORTRANGE(""https://docs.google.com/spreadsheets/d/1bRrNKwbHDVktQG10isr5vbWRtt5spIZPpkOSWgbT5ug/edit?usp=sharing"",""ศรีสะเกษ!J229"")+IMPORTRANGE(""https://doc"&amp;"s.google.com/spreadsheets/d/17P34_Ow5kFBfdQD0qspb2UuPX5zpi6WMrQzslghyvrI/edit?usp=sharing"",""สกลนคร!J229"")+IMPORTRANGE(""https://docs.google.com/spreadsheets/d/1yswqbM3-AEpThF3ZSUa1AcmHnmRTF1vlJ1CZGcJ8YuU/edit?usp=sharing"",""สุรินทร์!J229"")+IMPORTRANG"&amp;"E(""https://docs.google.com/spreadsheets/d/13JHU_EFbsQOUQ0JSQ3dWy1VTRosIWcDq6Nc99z2qzdc/edit?usp=sharing"",""หนองคาย!J229"")+IMPORTRANGE(""https://docs.google.com/spreadsheets/d/1Hx73zIEgVdDZZaYSTc46Dqv64atFhpr3GelxLbaIN8A/edit?usp=sharing"",""หนองบัวลำภู"&amp;"!J229"")+IMPORTRANGE(""https://docs.google.com/spreadsheets/d/1lFxr3ctmjFN90yc-xV6jrQ9Ty8BKYVBWnAZ15wcNIJc/edit?usp=sharing"",""อำนาจเจริญ!J229"")+IMPORTRANGE(""https://docs.google.com/spreadsheets/d/1gF7RJpRnL-1oyjyeWxs5SFWEH7y8ahOZsQlyp2A2e-A/edit?usp=s"&amp;"haring"",""อุดรธานี!J229"")+IMPORTRANGE(""https://docs.google.com/spreadsheets/d/1kfLP0j3INXRa8bTDpcEmoWewMBV61jlFlfzczfjWIgc/edit?usp=sharing"",""อุบลราชธานี!J229"")"),0)</f>
        <v>0</v>
      </c>
      <c r="K229" s="182">
        <f t="shared" ca="1" si="105"/>
        <v>0</v>
      </c>
      <c r="L229" s="58"/>
      <c r="M229" s="58"/>
      <c r="N229" s="58"/>
      <c r="O229" s="58"/>
      <c r="P229" s="58"/>
    </row>
    <row r="230" spans="1:16" ht="18.75" x14ac:dyDescent="0.25">
      <c r="A230" s="167"/>
      <c r="B230" s="168"/>
      <c r="C230" s="168"/>
      <c r="D230" s="60" t="s">
        <v>98</v>
      </c>
      <c r="E230" s="174"/>
      <c r="F230" s="174"/>
      <c r="G230" s="172"/>
      <c r="H230" s="179" t="s">
        <v>33</v>
      </c>
      <c r="I230" s="194">
        <f ca="1">IFERROR(__xludf.DUMMYFUNCTION("IMPORTRANGE(""https://docs.google.com/spreadsheets/d/1yhBcrRPreicbMKl9Bu_Snb2-OcQAF62RKfhTLhJ2eAA/edit?usp=sharing"",""กาฬสินธุ์!I230"")+IMPORTRANGE(""https://docs.google.com/spreadsheets/d/1aHkj4IaQMThhwWwevcOymEh837vdxeC_PycurhTbGFA/edit?usp=sharing"","&amp;"""ขอนแก่น!I230"")+IMPORTRANGE(""https://docs.google.com/spreadsheets/d/1FvTu2DsIWUjP6WCWra38Bkj_oOl_sOMf14r5Fg5srxU/edit?usp=sharing"",""ชัยภูมิ!I230"")+IMPORTRANGE(""https://docs.google.com/spreadsheets/d/1XVB7oCJ3pr-vBUdflwPQ8Z2LlzhnCvZaaYjAfP-647E/edit"&amp;"?usp=sharing"",""นครพนม!I230"")+IMPORTRANGE(""https://docs.google.com/spreadsheets/d/1Mnpb-8PYAgn85W6KOTD40hc_Xc55CaLfHoGAbrZ8tls/edit?usp=sharing"",""นครราชสีมา!I230"")+IMPORTRANGE(""https://docs.google.com/spreadsheets/d/1xoDLGBv9CYbyosIhki0kTq6IpYNj-gp"&amp;"jxfobnaDiut0/edit?usp=sharing"",""บึงกาฬ!I230"")+IMPORTRANGE(""https://docs.google.com/spreadsheets/d/1MMPq-JyI6DSgQETxuSiXkesP-P7JHuemnE6QJIa-Nlw/edit?usp=sharing"",""บุรีรัมย์!I230"")+IMPORTRANGE(""https://docs.google.com/spreadsheets/d/1l6IZ8xUPgMrESzc"&amp;"TYwhA1k_tPjeQjJPTqlm8Gd9eU5g/edit?usp=sharing"",""มหาสารคาม!I230"")+IMPORTRANGE(""https://docs.google.com/spreadsheets/d/1uB74YLqNjWX6FObjekfB2NtSYigTQyR2rq9u4Ub2Sq4/edit?usp=sharing"",""มุกดาหาร!I230"")+IMPORTRANGE(""https://docs.google.com/spreadsheets/"&amp;"d/1NexK3geCPxCTO1fzNF8dPec7yZyUx3OaWkFBC9HsQOo/edit?usp=sharing"",""ยโสธร!I230"")+IMPORTRANGE(""https://docs.google.com/spreadsheets/d/1v_cJrbBlyqmnHPReHk44g9NrMRdENNlSy_E_c5M9fIg/edit?usp=sharing"",""ร้อยเอ็ด!I230"")+IMPORTRANGE(""https://docs.google.com"&amp;"/spreadsheets/d/1Ul4RCpCX66NxYADU1QpwAPjOmBzW64SsT11s1wzXw_c/edit?usp=sharing"",""เลย!I230"")+IMPORTRANGE(""https://docs.google.com/spreadsheets/d/1bRrNKwbHDVktQG10isr5vbWRtt5spIZPpkOSWgbT5ug/edit?usp=sharing"",""ศรีสะเกษ!I230"")+IMPORTRANGE(""https://doc"&amp;"s.google.com/spreadsheets/d/17P34_Ow5kFBfdQD0qspb2UuPX5zpi6WMrQzslghyvrI/edit?usp=sharing"",""สกลนคร!I230"")+IMPORTRANGE(""https://docs.google.com/spreadsheets/d/1yswqbM3-AEpThF3ZSUa1AcmHnmRTF1vlJ1CZGcJ8YuU/edit?usp=sharing"",""สุรินทร์!I230"")+IMPORTRANG"&amp;"E(""https://docs.google.com/spreadsheets/d/13JHU_EFbsQOUQ0JSQ3dWy1VTRosIWcDq6Nc99z2qzdc/edit?usp=sharing"",""หนองคาย!I230"")+IMPORTRANGE(""https://docs.google.com/spreadsheets/d/1Hx73zIEgVdDZZaYSTc46Dqv64atFhpr3GelxLbaIN8A/edit?usp=sharing"",""หนองบัวลำภู"&amp;"!I230"")+IMPORTRANGE(""https://docs.google.com/spreadsheets/d/1lFxr3ctmjFN90yc-xV6jrQ9Ty8BKYVBWnAZ15wcNIJc/edit?usp=sharing"",""อำนาจเจริญ!I230"")+IMPORTRANGE(""https://docs.google.com/spreadsheets/d/1gF7RJpRnL-1oyjyeWxs5SFWEH7y8ahOZsQlyp2A2e-A/edit?usp=s"&amp;"haring"",""อุดรธานี!I230"")+IMPORTRANGE(""https://docs.google.com/spreadsheets/d/1kfLP0j3INXRa8bTDpcEmoWewMBV61jlFlfzczfjWIgc/edit?usp=sharing"",""อุบลราชธานี!I230"")"),0)</f>
        <v>0</v>
      </c>
      <c r="J230" s="194">
        <f ca="1">IFERROR(__xludf.DUMMYFUNCTION("IMPORTRANGE(""https://docs.google.com/spreadsheets/d/1yhBcrRPreicbMKl9Bu_Snb2-OcQAF62RKfhTLhJ2eAA/edit?usp=sharing"",""กาฬสินธุ์!J230"")+IMPORTRANGE(""https://docs.google.com/spreadsheets/d/1aHkj4IaQMThhwWwevcOymEh837vdxeC_PycurhTbGFA/edit?usp=sharing"","&amp;"""ขอนแก่น!J230"")+IMPORTRANGE(""https://docs.google.com/spreadsheets/d/1FvTu2DsIWUjP6WCWra38Bkj_oOl_sOMf14r5Fg5srxU/edit?usp=sharing"",""ชัยภูมิ!J230"")+IMPORTRANGE(""https://docs.google.com/spreadsheets/d/1XVB7oCJ3pr-vBUdflwPQ8Z2LlzhnCvZaaYjAfP-647E/edit"&amp;"?usp=sharing"",""นครพนม!J230"")+IMPORTRANGE(""https://docs.google.com/spreadsheets/d/1Mnpb-8PYAgn85W6KOTD40hc_Xc55CaLfHoGAbrZ8tls/edit?usp=sharing"",""นครราชสีมา!J230"")+IMPORTRANGE(""https://docs.google.com/spreadsheets/d/1xoDLGBv9CYbyosIhki0kTq6IpYNj-gp"&amp;"jxfobnaDiut0/edit?usp=sharing"",""บึงกาฬ!J230"")+IMPORTRANGE(""https://docs.google.com/spreadsheets/d/1MMPq-JyI6DSgQETxuSiXkesP-P7JHuemnE6QJIa-Nlw/edit?usp=sharing"",""บุรีรัมย์!J230"")+IMPORTRANGE(""https://docs.google.com/spreadsheets/d/1l6IZ8xUPgMrESzc"&amp;"TYwhA1k_tPjeQjJPTqlm8Gd9eU5g/edit?usp=sharing"",""มหาสารคาม!J230"")+IMPORTRANGE(""https://docs.google.com/spreadsheets/d/1uB74YLqNjWX6FObjekfB2NtSYigTQyR2rq9u4Ub2Sq4/edit?usp=sharing"",""มุกดาหาร!J230"")+IMPORTRANGE(""https://docs.google.com/spreadsheets/"&amp;"d/1NexK3geCPxCTO1fzNF8dPec7yZyUx3OaWkFBC9HsQOo/edit?usp=sharing"",""ยโสธร!J230"")+IMPORTRANGE(""https://docs.google.com/spreadsheets/d/1v_cJrbBlyqmnHPReHk44g9NrMRdENNlSy_E_c5M9fIg/edit?usp=sharing"",""ร้อยเอ็ด!J230"")+IMPORTRANGE(""https://docs.google.com"&amp;"/spreadsheets/d/1Ul4RCpCX66NxYADU1QpwAPjOmBzW64SsT11s1wzXw_c/edit?usp=sharing"",""เลย!J230"")+IMPORTRANGE(""https://docs.google.com/spreadsheets/d/1bRrNKwbHDVktQG10isr5vbWRtt5spIZPpkOSWgbT5ug/edit?usp=sharing"",""ศรีสะเกษ!J230"")+IMPORTRANGE(""https://doc"&amp;"s.google.com/spreadsheets/d/17P34_Ow5kFBfdQD0qspb2UuPX5zpi6WMrQzslghyvrI/edit?usp=sharing"",""สกลนคร!J230"")+IMPORTRANGE(""https://docs.google.com/spreadsheets/d/1yswqbM3-AEpThF3ZSUa1AcmHnmRTF1vlJ1CZGcJ8YuU/edit?usp=sharing"",""สุรินทร์!J230"")+IMPORTRANG"&amp;"E(""https://docs.google.com/spreadsheets/d/13JHU_EFbsQOUQ0JSQ3dWy1VTRosIWcDq6Nc99z2qzdc/edit?usp=sharing"",""หนองคาย!J230"")+IMPORTRANGE(""https://docs.google.com/spreadsheets/d/1Hx73zIEgVdDZZaYSTc46Dqv64atFhpr3GelxLbaIN8A/edit?usp=sharing"",""หนองบัวลำภู"&amp;"!J230"")+IMPORTRANGE(""https://docs.google.com/spreadsheets/d/1lFxr3ctmjFN90yc-xV6jrQ9Ty8BKYVBWnAZ15wcNIJc/edit?usp=sharing"",""อำนาจเจริญ!J230"")+IMPORTRANGE(""https://docs.google.com/spreadsheets/d/1gF7RJpRnL-1oyjyeWxs5SFWEH7y8ahOZsQlyp2A2e-A/edit?usp=s"&amp;"haring"",""อุดรธานี!J230"")+IMPORTRANGE(""https://docs.google.com/spreadsheets/d/1kfLP0j3INXRa8bTDpcEmoWewMBV61jlFlfzczfjWIgc/edit?usp=sharing"",""อุบลราชธานี!J230"")"),0)</f>
        <v>0</v>
      </c>
      <c r="K230" s="182">
        <f t="shared" ca="1" si="105"/>
        <v>0</v>
      </c>
      <c r="L230" s="58"/>
      <c r="M230" s="58"/>
      <c r="N230" s="58"/>
      <c r="O230" s="58"/>
      <c r="P230" s="58"/>
    </row>
    <row r="231" spans="1:16" ht="19.5" x14ac:dyDescent="0.3">
      <c r="A231" s="279"/>
      <c r="B231" s="280"/>
      <c r="C231" s="281" t="s">
        <v>99</v>
      </c>
      <c r="D231" s="282"/>
      <c r="E231" s="282"/>
      <c r="F231" s="282"/>
      <c r="G231" s="283"/>
      <c r="H231" s="284" t="s">
        <v>33</v>
      </c>
      <c r="I231" s="285">
        <f t="shared" ref="I231:J231" si="106">I242+I253</f>
        <v>0</v>
      </c>
      <c r="J231" s="285">
        <f t="shared" si="106"/>
        <v>0</v>
      </c>
      <c r="K231" s="286">
        <f t="shared" si="105"/>
        <v>0</v>
      </c>
      <c r="L231" s="287"/>
      <c r="M231" s="287"/>
      <c r="N231" s="287"/>
      <c r="O231" s="287"/>
      <c r="P231" s="287"/>
    </row>
    <row r="232" spans="1:16" ht="19.5" x14ac:dyDescent="0.3">
      <c r="A232" s="157"/>
      <c r="B232" s="53"/>
      <c r="C232" s="158" t="s">
        <v>16</v>
      </c>
      <c r="D232" s="159" t="s">
        <v>17</v>
      </c>
      <c r="E232" s="53"/>
      <c r="F232" s="53"/>
      <c r="G232" s="55"/>
      <c r="H232" s="289" t="s">
        <v>12</v>
      </c>
      <c r="I232" s="164"/>
      <c r="J232" s="164"/>
      <c r="K232" s="165"/>
      <c r="L232" s="161">
        <f ca="1">L233+L234+L235+L236</f>
        <v>355400</v>
      </c>
      <c r="M232" s="58"/>
      <c r="N232" s="161">
        <f ca="1">N233+N234+N235+N236</f>
        <v>0</v>
      </c>
      <c r="O232" s="161">
        <f ca="1">IF(L232&gt;0,N232*100/L232,0)</f>
        <v>0</v>
      </c>
      <c r="P232" s="58"/>
    </row>
    <row r="233" spans="1:16" ht="18.75" x14ac:dyDescent="0.25">
      <c r="A233" s="157"/>
      <c r="B233" s="278"/>
      <c r="C233" s="53"/>
      <c r="D233" s="60" t="s">
        <v>80</v>
      </c>
      <c r="E233" s="53"/>
      <c r="F233" s="53"/>
      <c r="G233" s="55"/>
      <c r="H233" s="163" t="s">
        <v>12</v>
      </c>
      <c r="I233" s="164"/>
      <c r="J233" s="164"/>
      <c r="K233" s="165"/>
      <c r="L233" s="59">
        <f ca="1">IFERROR(__xludf.DUMMYFUNCTION("IMPORTRANGE(""https://docs.google.com/spreadsheets/d/1yhBcrRPreicbMKl9Bu_Snb2-OcQAF62RKfhTLhJ2eAA/edit?usp=sharing"",""กาฬสินธุ์!L233"")+IMPORTRANGE(""https://docs.google.com/spreadsheets/d/1aHkj4IaQMThhwWwevcOymEh837vdxeC_PycurhTbGFA/edit?usp=sharing"","&amp;"""ขอนแก่น!L233"")+IMPORTRANGE(""https://docs.google.com/spreadsheets/d/1FvTu2DsIWUjP6WCWra38Bkj_oOl_sOMf14r5Fg5srxU/edit?usp=sharing"",""ชัยภูมิ!L233"")+IMPORTRANGE(""https://docs.google.com/spreadsheets/d/1XVB7oCJ3pr-vBUdflwPQ8Z2LlzhnCvZaaYjAfP-647E/edit"&amp;"?usp=sharing"",""นครพนม!L233"")+IMPORTRANGE(""https://docs.google.com/spreadsheets/d/1Mnpb-8PYAgn85W6KOTD40hc_Xc55CaLfHoGAbrZ8tls/edit?usp=sharing"",""นครราชสีมา!L233"")+IMPORTRANGE(""https://docs.google.com/spreadsheets/d/1xoDLGBv9CYbyosIhki0kTq6IpYNj-gp"&amp;"jxfobnaDiut0/edit?usp=sharing"",""บึงกาฬ!L233"")+IMPORTRANGE(""https://docs.google.com/spreadsheets/d/1MMPq-JyI6DSgQETxuSiXkesP-P7JHuemnE6QJIa-Nlw/edit?usp=sharing"",""บุรีรัมย์!L233"")+IMPORTRANGE(""https://docs.google.com/spreadsheets/d/1l6IZ8xUPgMrESzc"&amp;"TYwhA1k_tPjeQjJPTqlm8Gd9eU5g/edit?usp=sharing"",""มหาสารคาม!L233"")+IMPORTRANGE(""https://docs.google.com/spreadsheets/d/1uB74YLqNjWX6FObjekfB2NtSYigTQyR2rq9u4Ub2Sq4/edit?usp=sharing"",""มุกดาหาร!L233"")+IMPORTRANGE(""https://docs.google.com/spreadsheets/"&amp;"d/1NexK3geCPxCTO1fzNF8dPec7yZyUx3OaWkFBC9HsQOo/edit?usp=sharing"",""ยโสธร!L233"")+IMPORTRANGE(""https://docs.google.com/spreadsheets/d/1v_cJrbBlyqmnHPReHk44g9NrMRdENNlSy_E_c5M9fIg/edit?usp=sharing"",""ร้อยเอ็ด!L233"")+IMPORTRANGE(""https://docs.google.com"&amp;"/spreadsheets/d/1Ul4RCpCX66NxYADU1QpwAPjOmBzW64SsT11s1wzXw_c/edit?usp=sharing"",""เลย!L233"")+IMPORTRANGE(""https://docs.google.com/spreadsheets/d/1bRrNKwbHDVktQG10isr5vbWRtt5spIZPpkOSWgbT5ug/edit?usp=sharing"",""ศรีสะเกษ!L233"")+IMPORTRANGE(""https://doc"&amp;"s.google.com/spreadsheets/d/17P34_Ow5kFBfdQD0qspb2UuPX5zpi6WMrQzslghyvrI/edit?usp=sharing"",""สกลนคร!L233"")+IMPORTRANGE(""https://docs.google.com/spreadsheets/d/1yswqbM3-AEpThF3ZSUa1AcmHnmRTF1vlJ1CZGcJ8YuU/edit?usp=sharing"",""สุรินทร์!L233"")+IMPORTRANG"&amp;"E(""https://docs.google.com/spreadsheets/d/13JHU_EFbsQOUQ0JSQ3dWy1VTRosIWcDq6Nc99z2qzdc/edit?usp=sharing"",""หนองคาย!L233"")+IMPORTRANGE(""https://docs.google.com/spreadsheets/d/1Hx73zIEgVdDZZaYSTc46Dqv64atFhpr3GelxLbaIN8A/edit?usp=sharing"",""หนองบัวลำภู"&amp;"!L233"")+IMPORTRANGE(""https://docs.google.com/spreadsheets/d/1lFxr3ctmjFN90yc-xV6jrQ9Ty8BKYVBWnAZ15wcNIJc/edit?usp=sharing"",""อำนาจเจริญ!L233"")+IMPORTRANGE(""https://docs.google.com/spreadsheets/d/1gF7RJpRnL-1oyjyeWxs5SFWEH7y8ahOZsQlyp2A2e-A/edit?usp=s"&amp;"haring"",""อุดรธานี!L233"")+IMPORTRANGE(""https://docs.google.com/spreadsheets/d/1kfLP0j3INXRa8bTDpcEmoWewMBV61jlFlfzczfjWIgc/edit?usp=sharing"",""อุบลราชธานี!L233"")"),111000)</f>
        <v>111000</v>
      </c>
      <c r="M233" s="58"/>
      <c r="N233" s="59">
        <f ca="1">IFERROR(__xludf.DUMMYFUNCTION("IMPORTRANGE(""https://docs.google.com/spreadsheets/d/1yhBcrRPreicbMKl9Bu_Snb2-OcQAF62RKfhTLhJ2eAA/edit?usp=sharing"",""กาฬสินธุ์!N233"")+IMPORTRANGE(""https://docs.google.com/spreadsheets/d/1aHkj4IaQMThhwWwevcOymEh837vdxeC_PycurhTbGFA/edit?usp=sharing"","&amp;"""ขอนแก่น!N233"")+IMPORTRANGE(""https://docs.google.com/spreadsheets/d/1FvTu2DsIWUjP6WCWra38Bkj_oOl_sOMf14r5Fg5srxU/edit?usp=sharing"",""ชัยภูมิ!N233"")+IMPORTRANGE(""https://docs.google.com/spreadsheets/d/1XVB7oCJ3pr-vBUdflwPQ8Z2LlzhnCvZaaYjAfP-647E/edit"&amp;"?usp=sharing"",""นครพนม!N233"")+IMPORTRANGE(""https://docs.google.com/spreadsheets/d/1Mnpb-8PYAgn85W6KOTD40hc_Xc55CaLfHoGAbrZ8tls/edit?usp=sharing"",""นครราชสีมา!N233"")+IMPORTRANGE(""https://docs.google.com/spreadsheets/d/1xoDLGBv9CYbyosIhki0kTq6IpYNj-gp"&amp;"jxfobnaDiut0/edit?usp=sharing"",""บึงกาฬ!N233"")+IMPORTRANGE(""https://docs.google.com/spreadsheets/d/1MMPq-JyI6DSgQETxuSiXkesP-P7JHuemnE6QJIa-Nlw/edit?usp=sharing"",""บุรีรัมย์!N233"")+IMPORTRANGE(""https://docs.google.com/spreadsheets/d/1l6IZ8xUPgMrESzc"&amp;"TYwhA1k_tPjeQjJPTqlm8Gd9eU5g/edit?usp=sharing"",""มหาสารคาม!N233"")+IMPORTRANGE(""https://docs.google.com/spreadsheets/d/1uB74YLqNjWX6FObjekfB2NtSYigTQyR2rq9u4Ub2Sq4/edit?usp=sharing"",""มุกดาหาร!N233"")+IMPORTRANGE(""https://docs.google.com/spreadsheets/"&amp;"d/1NexK3geCPxCTO1fzNF8dPec7yZyUx3OaWkFBC9HsQOo/edit?usp=sharing"",""ยโสธร!N233"")+IMPORTRANGE(""https://docs.google.com/spreadsheets/d/1v_cJrbBlyqmnHPReHk44g9NrMRdENNlSy_E_c5M9fIg/edit?usp=sharing"",""ร้อยเอ็ด!N233"")+IMPORTRANGE(""https://docs.google.com"&amp;"/spreadsheets/d/1Ul4RCpCX66NxYADU1QpwAPjOmBzW64SsT11s1wzXw_c/edit?usp=sharing"",""เลย!N233"")+IMPORTRANGE(""https://docs.google.com/spreadsheets/d/1bRrNKwbHDVktQG10isr5vbWRtt5spIZPpkOSWgbT5ug/edit?usp=sharing"",""ศรีสะเกษ!N233"")+IMPORTRANGE(""https://doc"&amp;"s.google.com/spreadsheets/d/17P34_Ow5kFBfdQD0qspb2UuPX5zpi6WMrQzslghyvrI/edit?usp=sharing"",""สกลนคร!N233"")+IMPORTRANGE(""https://docs.google.com/spreadsheets/d/1yswqbM3-AEpThF3ZSUa1AcmHnmRTF1vlJ1CZGcJ8YuU/edit?usp=sharing"",""สุรินทร์!N233"")+IMPORTRANG"&amp;"E(""https://docs.google.com/spreadsheets/d/13JHU_EFbsQOUQ0JSQ3dWy1VTRosIWcDq6Nc99z2qzdc/edit?usp=sharing"",""หนองคาย!N233"")+IMPORTRANGE(""https://docs.google.com/spreadsheets/d/1Hx73zIEgVdDZZaYSTc46Dqv64atFhpr3GelxLbaIN8A/edit?usp=sharing"",""หนองบัวลำภู"&amp;"!N233"")+IMPORTRANGE(""https://docs.google.com/spreadsheets/d/1lFxr3ctmjFN90yc-xV6jrQ9Ty8BKYVBWnAZ15wcNIJc/edit?usp=sharing"",""อำนาจเจริญ!N233"")+IMPORTRANGE(""https://docs.google.com/spreadsheets/d/1gF7RJpRnL-1oyjyeWxs5SFWEH7y8ahOZsQlyp2A2e-A/edit?usp=s"&amp;"haring"",""อุดรธานี!N233"")+IMPORTRANGE(""https://docs.google.com/spreadsheets/d/1kfLP0j3INXRa8bTDpcEmoWewMBV61jlFlfzczfjWIgc/edit?usp=sharing"",""อุบลราชธานี!N233"")"),0)</f>
        <v>0</v>
      </c>
      <c r="O233" s="58"/>
      <c r="P233" s="58"/>
    </row>
    <row r="234" spans="1:16" ht="18.75" x14ac:dyDescent="0.25">
      <c r="A234" s="274"/>
      <c r="B234" s="278"/>
      <c r="C234" s="278"/>
      <c r="D234" s="60" t="s">
        <v>82</v>
      </c>
      <c r="E234" s="53"/>
      <c r="F234" s="53"/>
      <c r="G234" s="55"/>
      <c r="H234" s="163" t="s">
        <v>12</v>
      </c>
      <c r="I234" s="57"/>
      <c r="J234" s="57"/>
      <c r="K234" s="58"/>
      <c r="L234" s="59">
        <f ca="1">IFERROR(__xludf.DUMMYFUNCTION("IMPORTRANGE(""https://docs.google.com/spreadsheets/d/1yhBcrRPreicbMKl9Bu_Snb2-OcQAF62RKfhTLhJ2eAA/edit?usp=sharing"",""กาฬสินธุ์!L234"")+IMPORTRANGE(""https://docs.google.com/spreadsheets/d/1aHkj4IaQMThhwWwevcOymEh837vdxeC_PycurhTbGFA/edit?usp=sharing"","&amp;"""ขอนแก่น!L234"")+IMPORTRANGE(""https://docs.google.com/spreadsheets/d/1FvTu2DsIWUjP6WCWra38Bkj_oOl_sOMf14r5Fg5srxU/edit?usp=sharing"",""ชัยภูมิ!L234"")+IMPORTRANGE(""https://docs.google.com/spreadsheets/d/1XVB7oCJ3pr-vBUdflwPQ8Z2LlzhnCvZaaYjAfP-647E/edit"&amp;"?usp=sharing"",""นครพนม!L234"")+IMPORTRANGE(""https://docs.google.com/spreadsheets/d/1Mnpb-8PYAgn85W6KOTD40hc_Xc55CaLfHoGAbrZ8tls/edit?usp=sharing"",""นครราชสีมา!L234"")+IMPORTRANGE(""https://docs.google.com/spreadsheets/d/1xoDLGBv9CYbyosIhki0kTq6IpYNj-gp"&amp;"jxfobnaDiut0/edit?usp=sharing"",""บึงกาฬ!L234"")+IMPORTRANGE(""https://docs.google.com/spreadsheets/d/1MMPq-JyI6DSgQETxuSiXkesP-P7JHuemnE6QJIa-Nlw/edit?usp=sharing"",""บุรีรัมย์!L234"")+IMPORTRANGE(""https://docs.google.com/spreadsheets/d/1l6IZ8xUPgMrESzc"&amp;"TYwhA1k_tPjeQjJPTqlm8Gd9eU5g/edit?usp=sharing"",""มหาสารคาม!L234"")+IMPORTRANGE(""https://docs.google.com/spreadsheets/d/1uB74YLqNjWX6FObjekfB2NtSYigTQyR2rq9u4Ub2Sq4/edit?usp=sharing"",""มุกดาหาร!L234"")+IMPORTRANGE(""https://docs.google.com/spreadsheets/"&amp;"d/1NexK3geCPxCTO1fzNF8dPec7yZyUx3OaWkFBC9HsQOo/edit?usp=sharing"",""ยโสธร!L234"")+IMPORTRANGE(""https://docs.google.com/spreadsheets/d/1v_cJrbBlyqmnHPReHk44g9NrMRdENNlSy_E_c5M9fIg/edit?usp=sharing"",""ร้อยเอ็ด!L234"")+IMPORTRANGE(""https://docs.google.com"&amp;"/spreadsheets/d/1Ul4RCpCX66NxYADU1QpwAPjOmBzW64SsT11s1wzXw_c/edit?usp=sharing"",""เลย!L234"")+IMPORTRANGE(""https://docs.google.com/spreadsheets/d/1bRrNKwbHDVktQG10isr5vbWRtt5spIZPpkOSWgbT5ug/edit?usp=sharing"",""ศรีสะเกษ!L234"")+IMPORTRANGE(""https://doc"&amp;"s.google.com/spreadsheets/d/17P34_Ow5kFBfdQD0qspb2UuPX5zpi6WMrQzslghyvrI/edit?usp=sharing"",""สกลนคร!L234"")+IMPORTRANGE(""https://docs.google.com/spreadsheets/d/1yswqbM3-AEpThF3ZSUa1AcmHnmRTF1vlJ1CZGcJ8YuU/edit?usp=sharing"",""สุรินทร์!L234"")+IMPORTRANG"&amp;"E(""https://docs.google.com/spreadsheets/d/13JHU_EFbsQOUQ0JSQ3dWy1VTRosIWcDq6Nc99z2qzdc/edit?usp=sharing"",""หนองคาย!L234"")+IMPORTRANGE(""https://docs.google.com/spreadsheets/d/1Hx73zIEgVdDZZaYSTc46Dqv64atFhpr3GelxLbaIN8A/edit?usp=sharing"",""หนองบัวลำภู"&amp;"!L234"")+IMPORTRANGE(""https://docs.google.com/spreadsheets/d/1lFxr3ctmjFN90yc-xV6jrQ9Ty8BKYVBWnAZ15wcNIJc/edit?usp=sharing"",""อำนาจเจริญ!L234"")+IMPORTRANGE(""https://docs.google.com/spreadsheets/d/1gF7RJpRnL-1oyjyeWxs5SFWEH7y8ahOZsQlyp2A2e-A/edit?usp=s"&amp;"haring"",""อุดรธานี!L234"")+IMPORTRANGE(""https://docs.google.com/spreadsheets/d/1kfLP0j3INXRa8bTDpcEmoWewMBV61jlFlfzczfjWIgc/edit?usp=sharing"",""อุบลราชธานี!L234"")"),6000)</f>
        <v>6000</v>
      </c>
      <c r="M234" s="58"/>
      <c r="N234" s="59">
        <f ca="1">IFERROR(__xludf.DUMMYFUNCTION("IMPORTRANGE(""https://docs.google.com/spreadsheets/d/1yhBcrRPreicbMKl9Bu_Snb2-OcQAF62RKfhTLhJ2eAA/edit?usp=sharing"",""กาฬสินธุ์!N234"")+IMPORTRANGE(""https://docs.google.com/spreadsheets/d/1aHkj4IaQMThhwWwevcOymEh837vdxeC_PycurhTbGFA/edit?usp=sharing"","&amp;"""ขอนแก่น!N234"")+IMPORTRANGE(""https://docs.google.com/spreadsheets/d/1FvTu2DsIWUjP6WCWra38Bkj_oOl_sOMf14r5Fg5srxU/edit?usp=sharing"",""ชัยภูมิ!N234"")+IMPORTRANGE(""https://docs.google.com/spreadsheets/d/1XVB7oCJ3pr-vBUdflwPQ8Z2LlzhnCvZaaYjAfP-647E/edit"&amp;"?usp=sharing"",""นครพนม!N234"")+IMPORTRANGE(""https://docs.google.com/spreadsheets/d/1Mnpb-8PYAgn85W6KOTD40hc_Xc55CaLfHoGAbrZ8tls/edit?usp=sharing"",""นครราชสีมา!N234"")+IMPORTRANGE(""https://docs.google.com/spreadsheets/d/1xoDLGBv9CYbyosIhki0kTq6IpYNj-gp"&amp;"jxfobnaDiut0/edit?usp=sharing"",""บึงกาฬ!N234"")+IMPORTRANGE(""https://docs.google.com/spreadsheets/d/1MMPq-JyI6DSgQETxuSiXkesP-P7JHuemnE6QJIa-Nlw/edit?usp=sharing"",""บุรีรัมย์!N234"")+IMPORTRANGE(""https://docs.google.com/spreadsheets/d/1l6IZ8xUPgMrESzc"&amp;"TYwhA1k_tPjeQjJPTqlm8Gd9eU5g/edit?usp=sharing"",""มหาสารคาม!N234"")+IMPORTRANGE(""https://docs.google.com/spreadsheets/d/1uB74YLqNjWX6FObjekfB2NtSYigTQyR2rq9u4Ub2Sq4/edit?usp=sharing"",""มุกดาหาร!N234"")+IMPORTRANGE(""https://docs.google.com/spreadsheets/"&amp;"d/1NexK3geCPxCTO1fzNF8dPec7yZyUx3OaWkFBC9HsQOo/edit?usp=sharing"",""ยโสธร!N234"")+IMPORTRANGE(""https://docs.google.com/spreadsheets/d/1v_cJrbBlyqmnHPReHk44g9NrMRdENNlSy_E_c5M9fIg/edit?usp=sharing"",""ร้อยเอ็ด!N234"")+IMPORTRANGE(""https://docs.google.com"&amp;"/spreadsheets/d/1Ul4RCpCX66NxYADU1QpwAPjOmBzW64SsT11s1wzXw_c/edit?usp=sharing"",""เลย!N234"")+IMPORTRANGE(""https://docs.google.com/spreadsheets/d/1bRrNKwbHDVktQG10isr5vbWRtt5spIZPpkOSWgbT5ug/edit?usp=sharing"",""ศรีสะเกษ!N234"")+IMPORTRANGE(""https://doc"&amp;"s.google.com/spreadsheets/d/17P34_Ow5kFBfdQD0qspb2UuPX5zpi6WMrQzslghyvrI/edit?usp=sharing"",""สกลนคร!N234"")+IMPORTRANGE(""https://docs.google.com/spreadsheets/d/1yswqbM3-AEpThF3ZSUa1AcmHnmRTF1vlJ1CZGcJ8YuU/edit?usp=sharing"",""สุรินทร์!N234"")+IMPORTRANG"&amp;"E(""https://docs.google.com/spreadsheets/d/13JHU_EFbsQOUQ0JSQ3dWy1VTRosIWcDq6Nc99z2qzdc/edit?usp=sharing"",""หนองคาย!N234"")+IMPORTRANGE(""https://docs.google.com/spreadsheets/d/1Hx73zIEgVdDZZaYSTc46Dqv64atFhpr3GelxLbaIN8A/edit?usp=sharing"",""หนองบัวลำภู"&amp;"!N234"")+IMPORTRANGE(""https://docs.google.com/spreadsheets/d/1lFxr3ctmjFN90yc-xV6jrQ9Ty8BKYVBWnAZ15wcNIJc/edit?usp=sharing"",""อำนาจเจริญ!N234"")+IMPORTRANGE(""https://docs.google.com/spreadsheets/d/1gF7RJpRnL-1oyjyeWxs5SFWEH7y8ahOZsQlyp2A2e-A/edit?usp=s"&amp;"haring"",""อุดรธานี!N234"")+IMPORTRANGE(""https://docs.google.com/spreadsheets/d/1kfLP0j3INXRa8bTDpcEmoWewMBV61jlFlfzczfjWIgc/edit?usp=sharing"",""อุบลราชธานี!N234"")"),0)</f>
        <v>0</v>
      </c>
      <c r="O234" s="58"/>
      <c r="P234" s="58"/>
    </row>
    <row r="235" spans="1:16" ht="18.75" x14ac:dyDescent="0.25">
      <c r="A235" s="274"/>
      <c r="B235" s="278"/>
      <c r="C235" s="278"/>
      <c r="D235" s="60" t="s">
        <v>100</v>
      </c>
      <c r="E235" s="53"/>
      <c r="F235" s="53"/>
      <c r="G235" s="55"/>
      <c r="H235" s="163" t="s">
        <v>12</v>
      </c>
      <c r="I235" s="57"/>
      <c r="J235" s="57"/>
      <c r="K235" s="58"/>
      <c r="L235" s="59">
        <f ca="1">IFERROR(__xludf.DUMMYFUNCTION("IMPORTRANGE(""https://docs.google.com/spreadsheets/d/1yhBcrRPreicbMKl9Bu_Snb2-OcQAF62RKfhTLhJ2eAA/edit?usp=sharing"",""กาฬสินธุ์!L235"")+IMPORTRANGE(""https://docs.google.com/spreadsheets/d/1aHkj4IaQMThhwWwevcOymEh837vdxeC_PycurhTbGFA/edit?usp=sharing"","&amp;"""ขอนแก่น!L235"")+IMPORTRANGE(""https://docs.google.com/spreadsheets/d/1FvTu2DsIWUjP6WCWra38Bkj_oOl_sOMf14r5Fg5srxU/edit?usp=sharing"",""ชัยภูมิ!L235"")+IMPORTRANGE(""https://docs.google.com/spreadsheets/d/1XVB7oCJ3pr-vBUdflwPQ8Z2LlzhnCvZaaYjAfP-647E/edit"&amp;"?usp=sharing"",""นครพนม!L235"")+IMPORTRANGE(""https://docs.google.com/spreadsheets/d/1Mnpb-8PYAgn85W6KOTD40hc_Xc55CaLfHoGAbrZ8tls/edit?usp=sharing"",""นครราชสีมา!L235"")+IMPORTRANGE(""https://docs.google.com/spreadsheets/d/1xoDLGBv9CYbyosIhki0kTq6IpYNj-gp"&amp;"jxfobnaDiut0/edit?usp=sharing"",""บึงกาฬ!L235"")+IMPORTRANGE(""https://docs.google.com/spreadsheets/d/1MMPq-JyI6DSgQETxuSiXkesP-P7JHuemnE6QJIa-Nlw/edit?usp=sharing"",""บุรีรัมย์!L235"")+IMPORTRANGE(""https://docs.google.com/spreadsheets/d/1l6IZ8xUPgMrESzc"&amp;"TYwhA1k_tPjeQjJPTqlm8Gd9eU5g/edit?usp=sharing"",""มหาสารคาม!L235"")+IMPORTRANGE(""https://docs.google.com/spreadsheets/d/1uB74YLqNjWX6FObjekfB2NtSYigTQyR2rq9u4Ub2Sq4/edit?usp=sharing"",""มุกดาหาร!L235"")+IMPORTRANGE(""https://docs.google.com/spreadsheets/"&amp;"d/1NexK3geCPxCTO1fzNF8dPec7yZyUx3OaWkFBC9HsQOo/edit?usp=sharing"",""ยโสธร!L235"")+IMPORTRANGE(""https://docs.google.com/spreadsheets/d/1v_cJrbBlyqmnHPReHk44g9NrMRdENNlSy_E_c5M9fIg/edit?usp=sharing"",""ร้อยเอ็ด!L235"")+IMPORTRANGE(""https://docs.google.com"&amp;"/spreadsheets/d/1Ul4RCpCX66NxYADU1QpwAPjOmBzW64SsT11s1wzXw_c/edit?usp=sharing"",""เลย!L235"")+IMPORTRANGE(""https://docs.google.com/spreadsheets/d/1bRrNKwbHDVktQG10isr5vbWRtt5spIZPpkOSWgbT5ug/edit?usp=sharing"",""ศรีสะเกษ!L235"")+IMPORTRANGE(""https://doc"&amp;"s.google.com/spreadsheets/d/17P34_Ow5kFBfdQD0qspb2UuPX5zpi6WMrQzslghyvrI/edit?usp=sharing"",""สกลนคร!L235"")+IMPORTRANGE(""https://docs.google.com/spreadsheets/d/1yswqbM3-AEpThF3ZSUa1AcmHnmRTF1vlJ1CZGcJ8YuU/edit?usp=sharing"",""สุรินทร์!L235"")+IMPORTRANG"&amp;"E(""https://docs.google.com/spreadsheets/d/13JHU_EFbsQOUQ0JSQ3dWy1VTRosIWcDq6Nc99z2qzdc/edit?usp=sharing"",""หนองคาย!L235"")+IMPORTRANGE(""https://docs.google.com/spreadsheets/d/1Hx73zIEgVdDZZaYSTc46Dqv64atFhpr3GelxLbaIN8A/edit?usp=sharing"",""หนองบัวลำภู"&amp;"!L235"")+IMPORTRANGE(""https://docs.google.com/spreadsheets/d/1lFxr3ctmjFN90yc-xV6jrQ9Ty8BKYVBWnAZ15wcNIJc/edit?usp=sharing"",""อำนาจเจริญ!L235"")+IMPORTRANGE(""https://docs.google.com/spreadsheets/d/1gF7RJpRnL-1oyjyeWxs5SFWEH7y8ahOZsQlyp2A2e-A/edit?usp=s"&amp;"haring"",""อุดรธานี!L235"")+IMPORTRANGE(""https://docs.google.com/spreadsheets/d/1kfLP0j3INXRa8bTDpcEmoWewMBV61jlFlfzczfjWIgc/edit?usp=sharing"",""อุบลราชธานี!L235"")"),172400)</f>
        <v>172400</v>
      </c>
      <c r="M235" s="58"/>
      <c r="N235" s="59">
        <f ca="1">IFERROR(__xludf.DUMMYFUNCTION("IMPORTRANGE(""https://docs.google.com/spreadsheets/d/1yhBcrRPreicbMKl9Bu_Snb2-OcQAF62RKfhTLhJ2eAA/edit?usp=sharing"",""กาฬสินธุ์!N235"")+IMPORTRANGE(""https://docs.google.com/spreadsheets/d/1aHkj4IaQMThhwWwevcOymEh837vdxeC_PycurhTbGFA/edit?usp=sharing"","&amp;"""ขอนแก่น!N235"")+IMPORTRANGE(""https://docs.google.com/spreadsheets/d/1FvTu2DsIWUjP6WCWra38Bkj_oOl_sOMf14r5Fg5srxU/edit?usp=sharing"",""ชัยภูมิ!N235"")+IMPORTRANGE(""https://docs.google.com/spreadsheets/d/1XVB7oCJ3pr-vBUdflwPQ8Z2LlzhnCvZaaYjAfP-647E/edit"&amp;"?usp=sharing"",""นครพนม!N235"")+IMPORTRANGE(""https://docs.google.com/spreadsheets/d/1Mnpb-8PYAgn85W6KOTD40hc_Xc55CaLfHoGAbrZ8tls/edit?usp=sharing"",""นครราชสีมา!N235"")+IMPORTRANGE(""https://docs.google.com/spreadsheets/d/1xoDLGBv9CYbyosIhki0kTq6IpYNj-gp"&amp;"jxfobnaDiut0/edit?usp=sharing"",""บึงกาฬ!N235"")+IMPORTRANGE(""https://docs.google.com/spreadsheets/d/1MMPq-JyI6DSgQETxuSiXkesP-P7JHuemnE6QJIa-Nlw/edit?usp=sharing"",""บุรีรัมย์!N235"")+IMPORTRANGE(""https://docs.google.com/spreadsheets/d/1l6IZ8xUPgMrESzc"&amp;"TYwhA1k_tPjeQjJPTqlm8Gd9eU5g/edit?usp=sharing"",""มหาสารคาม!N235"")+IMPORTRANGE(""https://docs.google.com/spreadsheets/d/1uB74YLqNjWX6FObjekfB2NtSYigTQyR2rq9u4Ub2Sq4/edit?usp=sharing"",""มุกดาหาร!N235"")+IMPORTRANGE(""https://docs.google.com/spreadsheets/"&amp;"d/1NexK3geCPxCTO1fzNF8dPec7yZyUx3OaWkFBC9HsQOo/edit?usp=sharing"",""ยโสธร!N235"")+IMPORTRANGE(""https://docs.google.com/spreadsheets/d/1v_cJrbBlyqmnHPReHk44g9NrMRdENNlSy_E_c5M9fIg/edit?usp=sharing"",""ร้อยเอ็ด!N235"")+IMPORTRANGE(""https://docs.google.com"&amp;"/spreadsheets/d/1Ul4RCpCX66NxYADU1QpwAPjOmBzW64SsT11s1wzXw_c/edit?usp=sharing"",""เลย!N235"")+IMPORTRANGE(""https://docs.google.com/spreadsheets/d/1bRrNKwbHDVktQG10isr5vbWRtt5spIZPpkOSWgbT5ug/edit?usp=sharing"",""ศรีสะเกษ!N235"")+IMPORTRANGE(""https://doc"&amp;"s.google.com/spreadsheets/d/17P34_Ow5kFBfdQD0qspb2UuPX5zpi6WMrQzslghyvrI/edit?usp=sharing"",""สกลนคร!N235"")+IMPORTRANGE(""https://docs.google.com/spreadsheets/d/1yswqbM3-AEpThF3ZSUa1AcmHnmRTF1vlJ1CZGcJ8YuU/edit?usp=sharing"",""สุรินทร์!N235"")+IMPORTRANG"&amp;"E(""https://docs.google.com/spreadsheets/d/13JHU_EFbsQOUQ0JSQ3dWy1VTRosIWcDq6Nc99z2qzdc/edit?usp=sharing"",""หนองคาย!N235"")+IMPORTRANGE(""https://docs.google.com/spreadsheets/d/1Hx73zIEgVdDZZaYSTc46Dqv64atFhpr3GelxLbaIN8A/edit?usp=sharing"",""หนองบัวลำภู"&amp;"!N235"")+IMPORTRANGE(""https://docs.google.com/spreadsheets/d/1lFxr3ctmjFN90yc-xV6jrQ9Ty8BKYVBWnAZ15wcNIJc/edit?usp=sharing"",""อำนาจเจริญ!N235"")+IMPORTRANGE(""https://docs.google.com/spreadsheets/d/1gF7RJpRnL-1oyjyeWxs5SFWEH7y8ahOZsQlyp2A2e-A/edit?usp=s"&amp;"haring"",""อุดรธานี!N235"")+IMPORTRANGE(""https://docs.google.com/spreadsheets/d/1kfLP0j3INXRa8bTDpcEmoWewMBV61jlFlfzczfjWIgc/edit?usp=sharing"",""อุบลราชธานี!N235"")"),0)</f>
        <v>0</v>
      </c>
      <c r="O235" s="58"/>
      <c r="P235" s="58"/>
    </row>
    <row r="236" spans="1:16" ht="18.75" x14ac:dyDescent="0.25">
      <c r="A236" s="274"/>
      <c r="B236" s="278"/>
      <c r="C236" s="278"/>
      <c r="D236" s="60" t="s">
        <v>101</v>
      </c>
      <c r="E236" s="53"/>
      <c r="F236" s="53"/>
      <c r="G236" s="55"/>
      <c r="H236" s="163" t="s">
        <v>12</v>
      </c>
      <c r="I236" s="57"/>
      <c r="J236" s="57"/>
      <c r="K236" s="58"/>
      <c r="L236" s="59">
        <f ca="1">IFERROR(__xludf.DUMMYFUNCTION("IMPORTRANGE(""https://docs.google.com/spreadsheets/d/1yhBcrRPreicbMKl9Bu_Snb2-OcQAF62RKfhTLhJ2eAA/edit?usp=sharing"",""กาฬสินธุ์!L236"")+IMPORTRANGE(""https://docs.google.com/spreadsheets/d/1aHkj4IaQMThhwWwevcOymEh837vdxeC_PycurhTbGFA/edit?usp=sharing"","&amp;"""ขอนแก่น!L236"")+IMPORTRANGE(""https://docs.google.com/spreadsheets/d/1FvTu2DsIWUjP6WCWra38Bkj_oOl_sOMf14r5Fg5srxU/edit?usp=sharing"",""ชัยภูมิ!L236"")+IMPORTRANGE(""https://docs.google.com/spreadsheets/d/1XVB7oCJ3pr-vBUdflwPQ8Z2LlzhnCvZaaYjAfP-647E/edit"&amp;"?usp=sharing"",""นครพนม!L236"")+IMPORTRANGE(""https://docs.google.com/spreadsheets/d/1Mnpb-8PYAgn85W6KOTD40hc_Xc55CaLfHoGAbrZ8tls/edit?usp=sharing"",""นครราชสีมา!L236"")+IMPORTRANGE(""https://docs.google.com/spreadsheets/d/1xoDLGBv9CYbyosIhki0kTq6IpYNj-gp"&amp;"jxfobnaDiut0/edit?usp=sharing"",""บึงกาฬ!L236"")+IMPORTRANGE(""https://docs.google.com/spreadsheets/d/1MMPq-JyI6DSgQETxuSiXkesP-P7JHuemnE6QJIa-Nlw/edit?usp=sharing"",""บุรีรัมย์!L236"")+IMPORTRANGE(""https://docs.google.com/spreadsheets/d/1l6IZ8xUPgMrESzc"&amp;"TYwhA1k_tPjeQjJPTqlm8Gd9eU5g/edit?usp=sharing"",""มหาสารคาม!L236"")+IMPORTRANGE(""https://docs.google.com/spreadsheets/d/1uB74YLqNjWX6FObjekfB2NtSYigTQyR2rq9u4Ub2Sq4/edit?usp=sharing"",""มุกดาหาร!L236"")+IMPORTRANGE(""https://docs.google.com/spreadsheets/"&amp;"d/1NexK3geCPxCTO1fzNF8dPec7yZyUx3OaWkFBC9HsQOo/edit?usp=sharing"",""ยโสธร!L236"")+IMPORTRANGE(""https://docs.google.com/spreadsheets/d/1v_cJrbBlyqmnHPReHk44g9NrMRdENNlSy_E_c5M9fIg/edit?usp=sharing"",""ร้อยเอ็ด!L236"")+IMPORTRANGE(""https://docs.google.com"&amp;"/spreadsheets/d/1Ul4RCpCX66NxYADU1QpwAPjOmBzW64SsT11s1wzXw_c/edit?usp=sharing"",""เลย!L236"")+IMPORTRANGE(""https://docs.google.com/spreadsheets/d/1bRrNKwbHDVktQG10isr5vbWRtt5spIZPpkOSWgbT5ug/edit?usp=sharing"",""ศรีสะเกษ!L236"")+IMPORTRANGE(""https://doc"&amp;"s.google.com/spreadsheets/d/17P34_Ow5kFBfdQD0qspb2UuPX5zpi6WMrQzslghyvrI/edit?usp=sharing"",""สกลนคร!L236"")+IMPORTRANGE(""https://docs.google.com/spreadsheets/d/1yswqbM3-AEpThF3ZSUa1AcmHnmRTF1vlJ1CZGcJ8YuU/edit?usp=sharing"",""สุรินทร์!L236"")+IMPORTRANG"&amp;"E(""https://docs.google.com/spreadsheets/d/13JHU_EFbsQOUQ0JSQ3dWy1VTRosIWcDq6Nc99z2qzdc/edit?usp=sharing"",""หนองคาย!L236"")+IMPORTRANGE(""https://docs.google.com/spreadsheets/d/1Hx73zIEgVdDZZaYSTc46Dqv64atFhpr3GelxLbaIN8A/edit?usp=sharing"",""หนองบัวลำภู"&amp;"!L236"")+IMPORTRANGE(""https://docs.google.com/spreadsheets/d/1lFxr3ctmjFN90yc-xV6jrQ9Ty8BKYVBWnAZ15wcNIJc/edit?usp=sharing"",""อำนาจเจริญ!L236"")+IMPORTRANGE(""https://docs.google.com/spreadsheets/d/1gF7RJpRnL-1oyjyeWxs5SFWEH7y8ahOZsQlyp2A2e-A/edit?usp=s"&amp;"haring"",""อุดรธานี!L236"")+IMPORTRANGE(""https://docs.google.com/spreadsheets/d/1kfLP0j3INXRa8bTDpcEmoWewMBV61jlFlfzczfjWIgc/edit?usp=sharing"",""อุบลราชธานี!L236"")"),66000)</f>
        <v>66000</v>
      </c>
      <c r="M236" s="58"/>
      <c r="N236" s="59">
        <f ca="1">IFERROR(__xludf.DUMMYFUNCTION("IMPORTRANGE(""https://docs.google.com/spreadsheets/d/1yhBcrRPreicbMKl9Bu_Snb2-OcQAF62RKfhTLhJ2eAA/edit?usp=sharing"",""กาฬสินธุ์!N236"")+IMPORTRANGE(""https://docs.google.com/spreadsheets/d/1aHkj4IaQMThhwWwevcOymEh837vdxeC_PycurhTbGFA/edit?usp=sharing"","&amp;"""ขอนแก่น!N236"")+IMPORTRANGE(""https://docs.google.com/spreadsheets/d/1FvTu2DsIWUjP6WCWra38Bkj_oOl_sOMf14r5Fg5srxU/edit?usp=sharing"",""ชัยภูมิ!N236"")+IMPORTRANGE(""https://docs.google.com/spreadsheets/d/1XVB7oCJ3pr-vBUdflwPQ8Z2LlzhnCvZaaYjAfP-647E/edit"&amp;"?usp=sharing"",""นครพนม!N236"")+IMPORTRANGE(""https://docs.google.com/spreadsheets/d/1Mnpb-8PYAgn85W6KOTD40hc_Xc55CaLfHoGAbrZ8tls/edit?usp=sharing"",""นครราชสีมา!N236"")+IMPORTRANGE(""https://docs.google.com/spreadsheets/d/1xoDLGBv9CYbyosIhki0kTq6IpYNj-gp"&amp;"jxfobnaDiut0/edit?usp=sharing"",""บึงกาฬ!N236"")+IMPORTRANGE(""https://docs.google.com/spreadsheets/d/1MMPq-JyI6DSgQETxuSiXkesP-P7JHuemnE6QJIa-Nlw/edit?usp=sharing"",""บุรีรัมย์!N236"")+IMPORTRANGE(""https://docs.google.com/spreadsheets/d/1l6IZ8xUPgMrESzc"&amp;"TYwhA1k_tPjeQjJPTqlm8Gd9eU5g/edit?usp=sharing"",""มหาสารคาม!N236"")+IMPORTRANGE(""https://docs.google.com/spreadsheets/d/1uB74YLqNjWX6FObjekfB2NtSYigTQyR2rq9u4Ub2Sq4/edit?usp=sharing"",""มุกดาหาร!N236"")+IMPORTRANGE(""https://docs.google.com/spreadsheets/"&amp;"d/1NexK3geCPxCTO1fzNF8dPec7yZyUx3OaWkFBC9HsQOo/edit?usp=sharing"",""ยโสธร!N236"")+IMPORTRANGE(""https://docs.google.com/spreadsheets/d/1v_cJrbBlyqmnHPReHk44g9NrMRdENNlSy_E_c5M9fIg/edit?usp=sharing"",""ร้อยเอ็ด!N236"")+IMPORTRANGE(""https://docs.google.com"&amp;"/spreadsheets/d/1Ul4RCpCX66NxYADU1QpwAPjOmBzW64SsT11s1wzXw_c/edit?usp=sharing"",""เลย!N236"")+IMPORTRANGE(""https://docs.google.com/spreadsheets/d/1bRrNKwbHDVktQG10isr5vbWRtt5spIZPpkOSWgbT5ug/edit?usp=sharing"",""ศรีสะเกษ!N236"")+IMPORTRANGE(""https://doc"&amp;"s.google.com/spreadsheets/d/17P34_Ow5kFBfdQD0qspb2UuPX5zpi6WMrQzslghyvrI/edit?usp=sharing"",""สกลนคร!N236"")+IMPORTRANGE(""https://docs.google.com/spreadsheets/d/1yswqbM3-AEpThF3ZSUa1AcmHnmRTF1vlJ1CZGcJ8YuU/edit?usp=sharing"",""สุรินทร์!N236"")+IMPORTRANG"&amp;"E(""https://docs.google.com/spreadsheets/d/13JHU_EFbsQOUQ0JSQ3dWy1VTRosIWcDq6Nc99z2qzdc/edit?usp=sharing"",""หนองคาย!N236"")+IMPORTRANGE(""https://docs.google.com/spreadsheets/d/1Hx73zIEgVdDZZaYSTc46Dqv64atFhpr3GelxLbaIN8A/edit?usp=sharing"",""หนองบัวลำภู"&amp;"!N236"")+IMPORTRANGE(""https://docs.google.com/spreadsheets/d/1lFxr3ctmjFN90yc-xV6jrQ9Ty8BKYVBWnAZ15wcNIJc/edit?usp=sharing"",""อำนาจเจริญ!N236"")+IMPORTRANGE(""https://docs.google.com/spreadsheets/d/1gF7RJpRnL-1oyjyeWxs5SFWEH7y8ahOZsQlyp2A2e-A/edit?usp=s"&amp;"haring"",""อุดรธานี!N236"")+IMPORTRANGE(""https://docs.google.com/spreadsheets/d/1kfLP0j3INXRa8bTDpcEmoWewMBV61jlFlfzczfjWIgc/edit?usp=sharing"",""อุบลราชธานี!N236"")"),0)</f>
        <v>0</v>
      </c>
      <c r="O236" s="58"/>
      <c r="P236" s="58"/>
    </row>
    <row r="237" spans="1:16" ht="19.5" x14ac:dyDescent="0.3">
      <c r="A237" s="167"/>
      <c r="B237" s="168"/>
      <c r="C237" s="296" t="s">
        <v>16</v>
      </c>
      <c r="D237" s="169" t="s">
        <v>36</v>
      </c>
      <c r="E237" s="170"/>
      <c r="F237" s="170"/>
      <c r="G237" s="171"/>
      <c r="H237" s="172"/>
      <c r="I237" s="164"/>
      <c r="J237" s="57"/>
      <c r="K237" s="58"/>
      <c r="L237" s="58"/>
      <c r="M237" s="58"/>
      <c r="N237" s="58"/>
      <c r="O237" s="165"/>
      <c r="P237" s="165"/>
    </row>
    <row r="238" spans="1:16" ht="18.75" x14ac:dyDescent="0.25">
      <c r="A238" s="167"/>
      <c r="B238" s="168"/>
      <c r="C238" s="168"/>
      <c r="D238" s="193" t="s">
        <v>102</v>
      </c>
      <c r="E238" s="174"/>
      <c r="F238" s="174"/>
      <c r="G238" s="172"/>
      <c r="H238" s="179" t="s">
        <v>33</v>
      </c>
      <c r="I238" s="194">
        <f ca="1">IFERROR(__xludf.DUMMYFUNCTION("IMPORTRANGE(""https://docs.google.com/spreadsheets/d/1yhBcrRPreicbMKl9Bu_Snb2-OcQAF62RKfhTLhJ2eAA/edit?usp=sharing"",""กาฬสินธุ์!I238"")+IMPORTRANGE(""https://docs.google.com/spreadsheets/d/1aHkj4IaQMThhwWwevcOymEh837vdxeC_PycurhTbGFA/edit?usp=sharing"","&amp;"""ขอนแก่น!I238"")+IMPORTRANGE(""https://docs.google.com/spreadsheets/d/1FvTu2DsIWUjP6WCWra38Bkj_oOl_sOMf14r5Fg5srxU/edit?usp=sharing"",""ชัยภูมิ!I238"")+IMPORTRANGE(""https://docs.google.com/spreadsheets/d/1XVB7oCJ3pr-vBUdflwPQ8Z2LlzhnCvZaaYjAfP-647E/edit"&amp;"?usp=sharing"",""นครพนม!I238"")+IMPORTRANGE(""https://docs.google.com/spreadsheets/d/1Mnpb-8PYAgn85W6KOTD40hc_Xc55CaLfHoGAbrZ8tls/edit?usp=sharing"",""นครราชสีมา!I238"")+IMPORTRANGE(""https://docs.google.com/spreadsheets/d/1xoDLGBv9CYbyosIhki0kTq6IpYNj-gp"&amp;"jxfobnaDiut0/edit?usp=sharing"",""บึงกาฬ!I238"")+IMPORTRANGE(""https://docs.google.com/spreadsheets/d/1MMPq-JyI6DSgQETxuSiXkesP-P7JHuemnE6QJIa-Nlw/edit?usp=sharing"",""บุรีรัมย์!I238"")+IMPORTRANGE(""https://docs.google.com/spreadsheets/d/1l6IZ8xUPgMrESzc"&amp;"TYwhA1k_tPjeQjJPTqlm8Gd9eU5g/edit?usp=sharing"",""มหาสารคาม!I238"")+IMPORTRANGE(""https://docs.google.com/spreadsheets/d/1uB74YLqNjWX6FObjekfB2NtSYigTQyR2rq9u4Ub2Sq4/edit?usp=sharing"",""มุกดาหาร!I238"")+IMPORTRANGE(""https://docs.google.com/spreadsheets/"&amp;"d/1NexK3geCPxCTO1fzNF8dPec7yZyUx3OaWkFBC9HsQOo/edit?usp=sharing"",""ยโสธร!I238"")+IMPORTRANGE(""https://docs.google.com/spreadsheets/d/1v_cJrbBlyqmnHPReHk44g9NrMRdENNlSy_E_c5M9fIg/edit?usp=sharing"",""ร้อยเอ็ด!I238"")+IMPORTRANGE(""https://docs.google.com"&amp;"/spreadsheets/d/1Ul4RCpCX66NxYADU1QpwAPjOmBzW64SsT11s1wzXw_c/edit?usp=sharing"",""เลย!I238"")+IMPORTRANGE(""https://docs.google.com/spreadsheets/d/1bRrNKwbHDVktQG10isr5vbWRtt5spIZPpkOSWgbT5ug/edit?usp=sharing"",""ศรีสะเกษ!I238"")+IMPORTRANGE(""https://doc"&amp;"s.google.com/spreadsheets/d/17P34_Ow5kFBfdQD0qspb2UuPX5zpi6WMrQzslghyvrI/edit?usp=sharing"",""สกลนคร!I238"")+IMPORTRANGE(""https://docs.google.com/spreadsheets/d/1yswqbM3-AEpThF3ZSUa1AcmHnmRTF1vlJ1CZGcJ8YuU/edit?usp=sharing"",""สุรินทร์!I238"")+IMPORTRANG"&amp;"E(""https://docs.google.com/spreadsheets/d/13JHU_EFbsQOUQ0JSQ3dWy1VTRosIWcDq6Nc99z2qzdc/edit?usp=sharing"",""หนองคาย!I238"")+IMPORTRANGE(""https://docs.google.com/spreadsheets/d/1Hx73zIEgVdDZZaYSTc46Dqv64atFhpr3GelxLbaIN8A/edit?usp=sharing"",""หนองบัวลำภู"&amp;"!I238"")+IMPORTRANGE(""https://docs.google.com/spreadsheets/d/1lFxr3ctmjFN90yc-xV6jrQ9Ty8BKYVBWnAZ15wcNIJc/edit?usp=sharing"",""อำนาจเจริญ!I238"")+IMPORTRANGE(""https://docs.google.com/spreadsheets/d/1gF7RJpRnL-1oyjyeWxs5SFWEH7y8ahOZsQlyp2A2e-A/edit?usp=s"&amp;"haring"",""อุดรธานี!I238"")+IMPORTRANGE(""https://docs.google.com/spreadsheets/d/1kfLP0j3INXRa8bTDpcEmoWewMBV61jlFlfzczfjWIgc/edit?usp=sharing"",""อุบลราชธานี!I238"")"),80)</f>
        <v>80</v>
      </c>
      <c r="J238" s="194">
        <f ca="1">IFERROR(__xludf.DUMMYFUNCTION("IMPORTRANGE(""https://docs.google.com/spreadsheets/d/1yhBcrRPreicbMKl9Bu_Snb2-OcQAF62RKfhTLhJ2eAA/edit?usp=sharing"",""กาฬสินธุ์!J238"")+IMPORTRANGE(""https://docs.google.com/spreadsheets/d/1aHkj4IaQMThhwWwevcOymEh837vdxeC_PycurhTbGFA/edit?usp=sharing"","&amp;"""ขอนแก่น!J238"")+IMPORTRANGE(""https://docs.google.com/spreadsheets/d/1FvTu2DsIWUjP6WCWra38Bkj_oOl_sOMf14r5Fg5srxU/edit?usp=sharing"",""ชัยภูมิ!J238"")+IMPORTRANGE(""https://docs.google.com/spreadsheets/d/1XVB7oCJ3pr-vBUdflwPQ8Z2LlzhnCvZaaYjAfP-647E/edit"&amp;"?usp=sharing"",""นครพนม!J238"")+IMPORTRANGE(""https://docs.google.com/spreadsheets/d/1Mnpb-8PYAgn85W6KOTD40hc_Xc55CaLfHoGAbrZ8tls/edit?usp=sharing"",""นครราชสีมา!J238"")+IMPORTRANGE(""https://docs.google.com/spreadsheets/d/1xoDLGBv9CYbyosIhki0kTq6IpYNj-gp"&amp;"jxfobnaDiut0/edit?usp=sharing"",""บึงกาฬ!J238"")+IMPORTRANGE(""https://docs.google.com/spreadsheets/d/1MMPq-JyI6DSgQETxuSiXkesP-P7JHuemnE6QJIa-Nlw/edit?usp=sharing"",""บุรีรัมย์!J238"")+IMPORTRANGE(""https://docs.google.com/spreadsheets/d/1l6IZ8xUPgMrESzc"&amp;"TYwhA1k_tPjeQjJPTqlm8Gd9eU5g/edit?usp=sharing"",""มหาสารคาม!J238"")+IMPORTRANGE(""https://docs.google.com/spreadsheets/d/1uB74YLqNjWX6FObjekfB2NtSYigTQyR2rq9u4Ub2Sq4/edit?usp=sharing"",""มุกดาหาร!J238"")+IMPORTRANGE(""https://docs.google.com/spreadsheets/"&amp;"d/1NexK3geCPxCTO1fzNF8dPec7yZyUx3OaWkFBC9HsQOo/edit?usp=sharing"",""ยโสธร!J238"")+IMPORTRANGE(""https://docs.google.com/spreadsheets/d/1v_cJrbBlyqmnHPReHk44g9NrMRdENNlSy_E_c5M9fIg/edit?usp=sharing"",""ร้อยเอ็ด!J238"")+IMPORTRANGE(""https://docs.google.com"&amp;"/spreadsheets/d/1Ul4RCpCX66NxYADU1QpwAPjOmBzW64SsT11s1wzXw_c/edit?usp=sharing"",""เลย!J238"")+IMPORTRANGE(""https://docs.google.com/spreadsheets/d/1bRrNKwbHDVktQG10isr5vbWRtt5spIZPpkOSWgbT5ug/edit?usp=sharing"",""ศรีสะเกษ!J238"")+IMPORTRANGE(""https://doc"&amp;"s.google.com/spreadsheets/d/17P34_Ow5kFBfdQD0qspb2UuPX5zpi6WMrQzslghyvrI/edit?usp=sharing"",""สกลนคร!J238"")+IMPORTRANGE(""https://docs.google.com/spreadsheets/d/1yswqbM3-AEpThF3ZSUa1AcmHnmRTF1vlJ1CZGcJ8YuU/edit?usp=sharing"",""สุรินทร์!J238"")+IMPORTRANG"&amp;"E(""https://docs.google.com/spreadsheets/d/13JHU_EFbsQOUQ0JSQ3dWy1VTRosIWcDq6Nc99z2qzdc/edit?usp=sharing"",""หนองคาย!J238"")+IMPORTRANGE(""https://docs.google.com/spreadsheets/d/1Hx73zIEgVdDZZaYSTc46Dqv64atFhpr3GelxLbaIN8A/edit?usp=sharing"",""หนองบัวลำภู"&amp;"!J238"")+IMPORTRANGE(""https://docs.google.com/spreadsheets/d/1lFxr3ctmjFN90yc-xV6jrQ9Ty8BKYVBWnAZ15wcNIJc/edit?usp=sharing"",""อำนาจเจริญ!J238"")+IMPORTRANGE(""https://docs.google.com/spreadsheets/d/1gF7RJpRnL-1oyjyeWxs5SFWEH7y8ahOZsQlyp2A2e-A/edit?usp=s"&amp;"haring"",""อุดรธานี!J238"")+IMPORTRANGE(""https://docs.google.com/spreadsheets/d/1kfLP0j3INXRa8bTDpcEmoWewMBV61jlFlfzczfjWIgc/edit?usp=sharing"",""อุบลราชธานี!J238"")"),0)</f>
        <v>0</v>
      </c>
      <c r="K238" s="59">
        <f ca="1">IF(I238&gt;0,J238*100/I238,0)</f>
        <v>0</v>
      </c>
      <c r="L238" s="58"/>
      <c r="M238" s="58"/>
      <c r="N238" s="58"/>
      <c r="O238" s="58"/>
      <c r="P238" s="58"/>
    </row>
    <row r="239" spans="1:16" ht="18.75" x14ac:dyDescent="0.25">
      <c r="A239" s="167"/>
      <c r="B239" s="168"/>
      <c r="C239" s="168"/>
      <c r="D239" s="306" t="s">
        <v>41</v>
      </c>
      <c r="E239" s="174"/>
      <c r="F239" s="174"/>
      <c r="G239" s="172"/>
      <c r="H239" s="172"/>
      <c r="I239" s="57"/>
      <c r="J239" s="57"/>
      <c r="K239" s="58"/>
      <c r="L239" s="58"/>
      <c r="M239" s="58"/>
      <c r="N239" s="58"/>
      <c r="O239" s="165"/>
      <c r="P239" s="165"/>
    </row>
    <row r="240" spans="1:16" ht="18.75" x14ac:dyDescent="0.25">
      <c r="A240" s="167"/>
      <c r="B240" s="168"/>
      <c r="C240" s="168"/>
      <c r="D240" s="168"/>
      <c r="E240" s="173" t="s">
        <v>103</v>
      </c>
      <c r="F240" s="174"/>
      <c r="G240" s="172"/>
      <c r="H240" s="179" t="s">
        <v>33</v>
      </c>
      <c r="I240" s="181">
        <v>0</v>
      </c>
      <c r="J240" s="194">
        <f ca="1">IFERROR(__xludf.DUMMYFUNCTION("IMPORTRANGE(""https://docs.google.com/spreadsheets/d/1yhBcrRPreicbMKl9Bu_Snb2-OcQAF62RKfhTLhJ2eAA/edit?usp=sharing"",""กาฬสินธุ์!J240"")+IMPORTRANGE(""https://docs.google.com/spreadsheets/d/1aHkj4IaQMThhwWwevcOymEh837vdxeC_PycurhTbGFA/edit?usp=sharing"","&amp;"""ขอนแก่น!J240"")+IMPORTRANGE(""https://docs.google.com/spreadsheets/d/1FvTu2DsIWUjP6WCWra38Bkj_oOl_sOMf14r5Fg5srxU/edit?usp=sharing"",""ชัยภูมิ!J240"")+IMPORTRANGE(""https://docs.google.com/spreadsheets/d/1XVB7oCJ3pr-vBUdflwPQ8Z2LlzhnCvZaaYjAfP-647E/edit"&amp;"?usp=sharing"",""นครพนม!J240"")+IMPORTRANGE(""https://docs.google.com/spreadsheets/d/1Mnpb-8PYAgn85W6KOTD40hc_Xc55CaLfHoGAbrZ8tls/edit?usp=sharing"",""นครราชสีมา!J240"")+IMPORTRANGE(""https://docs.google.com/spreadsheets/d/1xoDLGBv9CYbyosIhki0kTq6IpYNj-gp"&amp;"jxfobnaDiut0/edit?usp=sharing"",""บึงกาฬ!J240"")+IMPORTRANGE(""https://docs.google.com/spreadsheets/d/1MMPq-JyI6DSgQETxuSiXkesP-P7JHuemnE6QJIa-Nlw/edit?usp=sharing"",""บุรีรัมย์!J240"")+IMPORTRANGE(""https://docs.google.com/spreadsheets/d/1l6IZ8xUPgMrESzc"&amp;"TYwhA1k_tPjeQjJPTqlm8Gd9eU5g/edit?usp=sharing"",""มหาสารคาม!J240"")+IMPORTRANGE(""https://docs.google.com/spreadsheets/d/1uB74YLqNjWX6FObjekfB2NtSYigTQyR2rq9u4Ub2Sq4/edit?usp=sharing"",""มุกดาหาร!J240"")+IMPORTRANGE(""https://docs.google.com/spreadsheets/"&amp;"d/1NexK3geCPxCTO1fzNF8dPec7yZyUx3OaWkFBC9HsQOo/edit?usp=sharing"",""ยโสธร!J240"")+IMPORTRANGE(""https://docs.google.com/spreadsheets/d/1v_cJrbBlyqmnHPReHk44g9NrMRdENNlSy_E_c5M9fIg/edit?usp=sharing"",""ร้อยเอ็ด!J240"")+IMPORTRANGE(""https://docs.google.com"&amp;"/spreadsheets/d/1Ul4RCpCX66NxYADU1QpwAPjOmBzW64SsT11s1wzXw_c/edit?usp=sharing"",""เลย!J240"")+IMPORTRANGE(""https://docs.google.com/spreadsheets/d/1bRrNKwbHDVktQG10isr5vbWRtt5spIZPpkOSWgbT5ug/edit?usp=sharing"",""ศรีสะเกษ!J240"")+IMPORTRANGE(""https://doc"&amp;"s.google.com/spreadsheets/d/17P34_Ow5kFBfdQD0qspb2UuPX5zpi6WMrQzslghyvrI/edit?usp=sharing"",""สกลนคร!J240"")+IMPORTRANGE(""https://docs.google.com/spreadsheets/d/1yswqbM3-AEpThF3ZSUa1AcmHnmRTF1vlJ1CZGcJ8YuU/edit?usp=sharing"",""สุรินทร์!J240"")+IMPORTRANG"&amp;"E(""https://docs.google.com/spreadsheets/d/13JHU_EFbsQOUQ0JSQ3dWy1VTRosIWcDq6Nc99z2qzdc/edit?usp=sharing"",""หนองคาย!J240"")+IMPORTRANGE(""https://docs.google.com/spreadsheets/d/1Hx73zIEgVdDZZaYSTc46Dqv64atFhpr3GelxLbaIN8A/edit?usp=sharing"",""หนองบัวลำภู"&amp;"!J240"")+IMPORTRANGE(""https://docs.google.com/spreadsheets/d/1lFxr3ctmjFN90yc-xV6jrQ9Ty8BKYVBWnAZ15wcNIJc/edit?usp=sharing"",""อำนาจเจริญ!J240"")+IMPORTRANGE(""https://docs.google.com/spreadsheets/d/1gF7RJpRnL-1oyjyeWxs5SFWEH7y8ahOZsQlyp2A2e-A/edit?usp=s"&amp;"haring"",""อุดรธานี!J240"")+IMPORTRANGE(""https://docs.google.com/spreadsheets/d/1kfLP0j3INXRa8bTDpcEmoWewMBV61jlFlfzczfjWIgc/edit?usp=sharing"",""อุบลราชธานี!J240"")"),0)</f>
        <v>0</v>
      </c>
      <c r="K240" s="59">
        <f t="shared" ref="K240:K241" si="107">IF(I240&gt;0,J240*100/I240,0)</f>
        <v>0</v>
      </c>
      <c r="L240" s="58"/>
      <c r="M240" s="58"/>
      <c r="N240" s="58"/>
      <c r="O240" s="58"/>
      <c r="P240" s="58"/>
    </row>
    <row r="241" spans="1:16" ht="18.75" x14ac:dyDescent="0.25">
      <c r="A241" s="167"/>
      <c r="B241" s="168"/>
      <c r="C241" s="168"/>
      <c r="D241" s="168"/>
      <c r="E241" s="173" t="s">
        <v>104</v>
      </c>
      <c r="F241" s="174"/>
      <c r="G241" s="172"/>
      <c r="H241" s="179" t="s">
        <v>54</v>
      </c>
      <c r="I241" s="181">
        <v>0</v>
      </c>
      <c r="J241" s="194">
        <f ca="1">IFERROR(__xludf.DUMMYFUNCTION("IMPORTRANGE(""https://docs.google.com/spreadsheets/d/1yhBcrRPreicbMKl9Bu_Snb2-OcQAF62RKfhTLhJ2eAA/edit?usp=sharing"",""กาฬสินธุ์!J241"")+IMPORTRANGE(""https://docs.google.com/spreadsheets/d/1aHkj4IaQMThhwWwevcOymEh837vdxeC_PycurhTbGFA/edit?usp=sharing"","&amp;"""ขอนแก่น!J241"")+IMPORTRANGE(""https://docs.google.com/spreadsheets/d/1FvTu2DsIWUjP6WCWra38Bkj_oOl_sOMf14r5Fg5srxU/edit?usp=sharing"",""ชัยภูมิ!J241"")+IMPORTRANGE(""https://docs.google.com/spreadsheets/d/1XVB7oCJ3pr-vBUdflwPQ8Z2LlzhnCvZaaYjAfP-647E/edit"&amp;"?usp=sharing"",""นครพนม!J241"")+IMPORTRANGE(""https://docs.google.com/spreadsheets/d/1Mnpb-8PYAgn85W6KOTD40hc_Xc55CaLfHoGAbrZ8tls/edit?usp=sharing"",""นครราชสีมา!J241"")+IMPORTRANGE(""https://docs.google.com/spreadsheets/d/1xoDLGBv9CYbyosIhki0kTq6IpYNj-gp"&amp;"jxfobnaDiut0/edit?usp=sharing"",""บึงกาฬ!J241"")+IMPORTRANGE(""https://docs.google.com/spreadsheets/d/1MMPq-JyI6DSgQETxuSiXkesP-P7JHuemnE6QJIa-Nlw/edit?usp=sharing"",""บุรีรัมย์!J241"")+IMPORTRANGE(""https://docs.google.com/spreadsheets/d/1l6IZ8xUPgMrESzc"&amp;"TYwhA1k_tPjeQjJPTqlm8Gd9eU5g/edit?usp=sharing"",""มหาสารคาม!J241"")+IMPORTRANGE(""https://docs.google.com/spreadsheets/d/1uB74YLqNjWX6FObjekfB2NtSYigTQyR2rq9u4Ub2Sq4/edit?usp=sharing"",""มุกดาหาร!J241"")+IMPORTRANGE(""https://docs.google.com/spreadsheets/"&amp;"d/1NexK3geCPxCTO1fzNF8dPec7yZyUx3OaWkFBC9HsQOo/edit?usp=sharing"",""ยโสธร!J241"")+IMPORTRANGE(""https://docs.google.com/spreadsheets/d/1v_cJrbBlyqmnHPReHk44g9NrMRdENNlSy_E_c5M9fIg/edit?usp=sharing"",""ร้อยเอ็ด!J241"")+IMPORTRANGE(""https://docs.google.com"&amp;"/spreadsheets/d/1Ul4RCpCX66NxYADU1QpwAPjOmBzW64SsT11s1wzXw_c/edit?usp=sharing"",""เลย!J241"")+IMPORTRANGE(""https://docs.google.com/spreadsheets/d/1bRrNKwbHDVktQG10isr5vbWRtt5spIZPpkOSWgbT5ug/edit?usp=sharing"",""ศรีสะเกษ!J241"")+IMPORTRANGE(""https://doc"&amp;"s.google.com/spreadsheets/d/17P34_Ow5kFBfdQD0qspb2UuPX5zpi6WMrQzslghyvrI/edit?usp=sharing"",""สกลนคร!J241"")+IMPORTRANGE(""https://docs.google.com/spreadsheets/d/1yswqbM3-AEpThF3ZSUa1AcmHnmRTF1vlJ1CZGcJ8YuU/edit?usp=sharing"",""สุรินทร์!J241"")+IMPORTRANG"&amp;"E(""https://docs.google.com/spreadsheets/d/13JHU_EFbsQOUQ0JSQ3dWy1VTRosIWcDq6Nc99z2qzdc/edit?usp=sharing"",""หนองคาย!J241"")+IMPORTRANGE(""https://docs.google.com/spreadsheets/d/1Hx73zIEgVdDZZaYSTc46Dqv64atFhpr3GelxLbaIN8A/edit?usp=sharing"",""หนองบัวลำภู"&amp;"!J241"")+IMPORTRANGE(""https://docs.google.com/spreadsheets/d/1lFxr3ctmjFN90yc-xV6jrQ9Ty8BKYVBWnAZ15wcNIJc/edit?usp=sharing"",""อำนาจเจริญ!J241"")+IMPORTRANGE(""https://docs.google.com/spreadsheets/d/1gF7RJpRnL-1oyjyeWxs5SFWEH7y8ahOZsQlyp2A2e-A/edit?usp=s"&amp;"haring"",""อุดรธานี!J241"")+IMPORTRANGE(""https://docs.google.com/spreadsheets/d/1kfLP0j3INXRa8bTDpcEmoWewMBV61jlFlfzczfjWIgc/edit?usp=sharing"",""อุบลราชธานี!J241"")"),0)</f>
        <v>0</v>
      </c>
      <c r="K241" s="59">
        <f t="shared" si="107"/>
        <v>0</v>
      </c>
      <c r="L241" s="58"/>
      <c r="M241" s="58"/>
      <c r="N241" s="58"/>
      <c r="O241" s="58"/>
      <c r="P241" s="58"/>
    </row>
    <row r="242" spans="1:16" ht="19.5" hidden="1" x14ac:dyDescent="0.3">
      <c r="A242" s="307"/>
      <c r="B242" s="308"/>
      <c r="C242" s="309" t="s">
        <v>105</v>
      </c>
      <c r="D242" s="310"/>
      <c r="E242" s="310"/>
      <c r="F242" s="310"/>
      <c r="G242" s="311"/>
      <c r="H242" s="312" t="s">
        <v>33</v>
      </c>
      <c r="I242" s="313"/>
      <c r="J242" s="313"/>
      <c r="K242" s="314"/>
      <c r="L242" s="304"/>
      <c r="M242" s="304"/>
      <c r="N242" s="304"/>
      <c r="O242" s="304"/>
      <c r="P242" s="304"/>
    </row>
    <row r="243" spans="1:16" ht="19.5" hidden="1" x14ac:dyDescent="0.3">
      <c r="A243" s="315"/>
      <c r="B243" s="310"/>
      <c r="C243" s="316" t="s">
        <v>16</v>
      </c>
      <c r="D243" s="317" t="s">
        <v>17</v>
      </c>
      <c r="E243" s="310"/>
      <c r="F243" s="310"/>
      <c r="G243" s="311"/>
      <c r="H243" s="318" t="s">
        <v>12</v>
      </c>
      <c r="I243" s="319"/>
      <c r="J243" s="319"/>
      <c r="K243" s="320"/>
      <c r="L243" s="321"/>
      <c r="M243" s="304"/>
      <c r="N243" s="321"/>
      <c r="O243" s="321"/>
      <c r="P243" s="321"/>
    </row>
    <row r="244" spans="1:16" ht="18.75" hidden="1" x14ac:dyDescent="0.25">
      <c r="A244" s="315"/>
      <c r="B244" s="308"/>
      <c r="C244" s="310"/>
      <c r="D244" s="322" t="s">
        <v>80</v>
      </c>
      <c r="E244" s="310"/>
      <c r="F244" s="310"/>
      <c r="G244" s="311"/>
      <c r="H244" s="323" t="s">
        <v>12</v>
      </c>
      <c r="I244" s="319"/>
      <c r="J244" s="319"/>
      <c r="K244" s="320"/>
      <c r="L244" s="305"/>
      <c r="M244" s="304"/>
      <c r="N244" s="324"/>
      <c r="O244" s="304"/>
      <c r="P244" s="304"/>
    </row>
    <row r="245" spans="1:16" ht="18.75" hidden="1" x14ac:dyDescent="0.25">
      <c r="A245" s="307"/>
      <c r="B245" s="308"/>
      <c r="C245" s="308"/>
      <c r="D245" s="322" t="s">
        <v>82</v>
      </c>
      <c r="E245" s="310"/>
      <c r="F245" s="310"/>
      <c r="G245" s="311"/>
      <c r="H245" s="323" t="s">
        <v>12</v>
      </c>
      <c r="I245" s="319"/>
      <c r="J245" s="319"/>
      <c r="K245" s="320"/>
      <c r="L245" s="305"/>
      <c r="M245" s="304"/>
      <c r="N245" s="324"/>
      <c r="O245" s="304"/>
      <c r="P245" s="304"/>
    </row>
    <row r="246" spans="1:16" ht="18.75" hidden="1" x14ac:dyDescent="0.25">
      <c r="A246" s="307"/>
      <c r="B246" s="308"/>
      <c r="C246" s="308"/>
      <c r="D246" s="322" t="s">
        <v>100</v>
      </c>
      <c r="E246" s="310"/>
      <c r="F246" s="310"/>
      <c r="G246" s="311"/>
      <c r="H246" s="323" t="s">
        <v>12</v>
      </c>
      <c r="I246" s="319"/>
      <c r="J246" s="319"/>
      <c r="K246" s="320"/>
      <c r="L246" s="305"/>
      <c r="M246" s="304"/>
      <c r="N246" s="324"/>
      <c r="O246" s="304"/>
      <c r="P246" s="304"/>
    </row>
    <row r="247" spans="1:16" ht="18.75" hidden="1" x14ac:dyDescent="0.25">
      <c r="A247" s="307"/>
      <c r="B247" s="308"/>
      <c r="C247" s="308"/>
      <c r="D247" s="322" t="s">
        <v>101</v>
      </c>
      <c r="E247" s="310"/>
      <c r="F247" s="310"/>
      <c r="G247" s="311"/>
      <c r="H247" s="323" t="s">
        <v>12</v>
      </c>
      <c r="I247" s="319"/>
      <c r="J247" s="319"/>
      <c r="K247" s="320"/>
      <c r="L247" s="305"/>
      <c r="M247" s="304"/>
      <c r="N247" s="324"/>
      <c r="O247" s="304"/>
      <c r="P247" s="304"/>
    </row>
    <row r="248" spans="1:16" ht="19.5" hidden="1" x14ac:dyDescent="0.3">
      <c r="A248" s="307"/>
      <c r="B248" s="308"/>
      <c r="C248" s="325" t="s">
        <v>16</v>
      </c>
      <c r="D248" s="326" t="s">
        <v>36</v>
      </c>
      <c r="E248" s="310"/>
      <c r="F248" s="310"/>
      <c r="G248" s="311"/>
      <c r="H248" s="311"/>
      <c r="I248" s="319"/>
      <c r="J248" s="319"/>
      <c r="K248" s="320"/>
      <c r="L248" s="304"/>
      <c r="M248" s="304"/>
      <c r="N248" s="304"/>
      <c r="O248" s="304"/>
      <c r="P248" s="304"/>
    </row>
    <row r="249" spans="1:16" ht="18.75" hidden="1" x14ac:dyDescent="0.25">
      <c r="A249" s="307"/>
      <c r="B249" s="308"/>
      <c r="C249" s="308"/>
      <c r="D249" s="322" t="s">
        <v>102</v>
      </c>
      <c r="E249" s="310"/>
      <c r="F249" s="310"/>
      <c r="G249" s="311"/>
      <c r="H249" s="327" t="s">
        <v>33</v>
      </c>
      <c r="I249" s="328"/>
      <c r="J249" s="329"/>
      <c r="K249" s="330"/>
      <c r="L249" s="304"/>
      <c r="M249" s="304"/>
      <c r="N249" s="304"/>
      <c r="O249" s="304"/>
      <c r="P249" s="304"/>
    </row>
    <row r="250" spans="1:16" ht="18.75" hidden="1" x14ac:dyDescent="0.25">
      <c r="A250" s="307"/>
      <c r="B250" s="308"/>
      <c r="C250" s="308"/>
      <c r="D250" s="331" t="s">
        <v>41</v>
      </c>
      <c r="E250" s="310"/>
      <c r="F250" s="310"/>
      <c r="G250" s="311"/>
      <c r="H250" s="311"/>
      <c r="I250" s="319"/>
      <c r="J250" s="319"/>
      <c r="K250" s="320"/>
      <c r="L250" s="304"/>
      <c r="M250" s="304"/>
      <c r="N250" s="304"/>
      <c r="O250" s="304"/>
      <c r="P250" s="304"/>
    </row>
    <row r="251" spans="1:16" ht="18.75" hidden="1" x14ac:dyDescent="0.25">
      <c r="A251" s="307"/>
      <c r="B251" s="308"/>
      <c r="C251" s="308"/>
      <c r="D251" s="308"/>
      <c r="E251" s="332" t="s">
        <v>103</v>
      </c>
      <c r="F251" s="310"/>
      <c r="G251" s="311"/>
      <c r="H251" s="327" t="s">
        <v>33</v>
      </c>
      <c r="I251" s="329"/>
      <c r="J251" s="329"/>
      <c r="K251" s="330"/>
      <c r="L251" s="304"/>
      <c r="M251" s="304"/>
      <c r="N251" s="304"/>
      <c r="O251" s="304"/>
      <c r="P251" s="304"/>
    </row>
    <row r="252" spans="1:16" ht="18.75" hidden="1" x14ac:dyDescent="0.25">
      <c r="A252" s="307"/>
      <c r="B252" s="308"/>
      <c r="C252" s="308"/>
      <c r="D252" s="308"/>
      <c r="E252" s="332" t="s">
        <v>104</v>
      </c>
      <c r="F252" s="310"/>
      <c r="G252" s="311"/>
      <c r="H252" s="327" t="s">
        <v>54</v>
      </c>
      <c r="I252" s="329"/>
      <c r="J252" s="329"/>
      <c r="K252" s="330"/>
      <c r="L252" s="304"/>
      <c r="M252" s="304"/>
      <c r="N252" s="304"/>
      <c r="O252" s="304"/>
      <c r="P252" s="304"/>
    </row>
    <row r="253" spans="1:16" ht="19.5" hidden="1" x14ac:dyDescent="0.3">
      <c r="A253" s="307"/>
      <c r="B253" s="308"/>
      <c r="C253" s="309" t="s">
        <v>106</v>
      </c>
      <c r="D253" s="310"/>
      <c r="E253" s="310"/>
      <c r="F253" s="310"/>
      <c r="G253" s="311"/>
      <c r="H253" s="312" t="s">
        <v>33</v>
      </c>
      <c r="I253" s="313"/>
      <c r="J253" s="313"/>
      <c r="K253" s="314"/>
      <c r="L253" s="304"/>
      <c r="M253" s="304"/>
      <c r="N253" s="304"/>
      <c r="O253" s="304"/>
      <c r="P253" s="304"/>
    </row>
    <row r="254" spans="1:16" ht="19.5" hidden="1" x14ac:dyDescent="0.3">
      <c r="A254" s="315"/>
      <c r="B254" s="310"/>
      <c r="C254" s="316" t="s">
        <v>16</v>
      </c>
      <c r="D254" s="326" t="s">
        <v>17</v>
      </c>
      <c r="E254" s="310"/>
      <c r="F254" s="310"/>
      <c r="G254" s="311"/>
      <c r="H254" s="318" t="s">
        <v>12</v>
      </c>
      <c r="I254" s="319"/>
      <c r="J254" s="319"/>
      <c r="K254" s="320"/>
      <c r="L254" s="321"/>
      <c r="M254" s="304"/>
      <c r="N254" s="321"/>
      <c r="O254" s="321"/>
      <c r="P254" s="321"/>
    </row>
    <row r="255" spans="1:16" ht="18.75" hidden="1" x14ac:dyDescent="0.25">
      <c r="A255" s="315"/>
      <c r="B255" s="308"/>
      <c r="C255" s="310"/>
      <c r="D255" s="322" t="s">
        <v>80</v>
      </c>
      <c r="E255" s="310"/>
      <c r="F255" s="310"/>
      <c r="G255" s="311"/>
      <c r="H255" s="323" t="s">
        <v>12</v>
      </c>
      <c r="I255" s="319"/>
      <c r="J255" s="319"/>
      <c r="K255" s="320"/>
      <c r="L255" s="305"/>
      <c r="M255" s="304"/>
      <c r="N255" s="305"/>
      <c r="O255" s="304"/>
      <c r="P255" s="304"/>
    </row>
    <row r="256" spans="1:16" ht="18.75" hidden="1" x14ac:dyDescent="0.25">
      <c r="A256" s="307"/>
      <c r="B256" s="308"/>
      <c r="C256" s="308"/>
      <c r="D256" s="322" t="s">
        <v>82</v>
      </c>
      <c r="E256" s="310"/>
      <c r="F256" s="310"/>
      <c r="G256" s="311"/>
      <c r="H256" s="323" t="s">
        <v>12</v>
      </c>
      <c r="I256" s="319"/>
      <c r="J256" s="319"/>
      <c r="K256" s="320"/>
      <c r="L256" s="305"/>
      <c r="M256" s="304"/>
      <c r="N256" s="305"/>
      <c r="O256" s="304"/>
      <c r="P256" s="304"/>
    </row>
    <row r="257" spans="1:16" ht="18.75" hidden="1" x14ac:dyDescent="0.25">
      <c r="A257" s="307"/>
      <c r="B257" s="308"/>
      <c r="C257" s="308"/>
      <c r="D257" s="322" t="s">
        <v>100</v>
      </c>
      <c r="E257" s="310"/>
      <c r="F257" s="310"/>
      <c r="G257" s="311"/>
      <c r="H257" s="323" t="s">
        <v>12</v>
      </c>
      <c r="I257" s="319"/>
      <c r="J257" s="319"/>
      <c r="K257" s="320"/>
      <c r="L257" s="305"/>
      <c r="M257" s="304"/>
      <c r="N257" s="305"/>
      <c r="O257" s="304"/>
      <c r="P257" s="304"/>
    </row>
    <row r="258" spans="1:16" ht="18.75" hidden="1" x14ac:dyDescent="0.25">
      <c r="A258" s="307"/>
      <c r="B258" s="308"/>
      <c r="C258" s="308"/>
      <c r="D258" s="322" t="s">
        <v>101</v>
      </c>
      <c r="E258" s="310"/>
      <c r="F258" s="310"/>
      <c r="G258" s="311"/>
      <c r="H258" s="323" t="s">
        <v>12</v>
      </c>
      <c r="I258" s="319"/>
      <c r="J258" s="319"/>
      <c r="K258" s="320"/>
      <c r="L258" s="305"/>
      <c r="M258" s="304"/>
      <c r="N258" s="305"/>
      <c r="O258" s="304"/>
      <c r="P258" s="304"/>
    </row>
    <row r="259" spans="1:16" ht="19.5" hidden="1" x14ac:dyDescent="0.3">
      <c r="A259" s="307"/>
      <c r="B259" s="308"/>
      <c r="C259" s="325" t="s">
        <v>16</v>
      </c>
      <c r="D259" s="326" t="s">
        <v>36</v>
      </c>
      <c r="E259" s="310"/>
      <c r="F259" s="310"/>
      <c r="G259" s="311"/>
      <c r="H259" s="311"/>
      <c r="I259" s="319"/>
      <c r="J259" s="319"/>
      <c r="K259" s="320"/>
      <c r="L259" s="304"/>
      <c r="M259" s="304"/>
      <c r="N259" s="304"/>
      <c r="O259" s="304"/>
      <c r="P259" s="304"/>
    </row>
    <row r="260" spans="1:16" ht="18.75" hidden="1" x14ac:dyDescent="0.25">
      <c r="A260" s="307"/>
      <c r="B260" s="308"/>
      <c r="C260" s="308"/>
      <c r="D260" s="322" t="s">
        <v>102</v>
      </c>
      <c r="E260" s="310"/>
      <c r="F260" s="310"/>
      <c r="G260" s="311"/>
      <c r="H260" s="327" t="s">
        <v>33</v>
      </c>
      <c r="I260" s="328"/>
      <c r="J260" s="328"/>
      <c r="K260" s="330"/>
      <c r="L260" s="304"/>
      <c r="M260" s="304"/>
      <c r="N260" s="304"/>
      <c r="O260" s="304"/>
      <c r="P260" s="304"/>
    </row>
    <row r="261" spans="1:16" ht="18.75" hidden="1" x14ac:dyDescent="0.25">
      <c r="A261" s="307"/>
      <c r="B261" s="308"/>
      <c r="C261" s="308"/>
      <c r="D261" s="331" t="s">
        <v>41</v>
      </c>
      <c r="E261" s="310"/>
      <c r="F261" s="310"/>
      <c r="G261" s="311"/>
      <c r="H261" s="311"/>
      <c r="I261" s="319"/>
      <c r="J261" s="319"/>
      <c r="K261" s="320"/>
      <c r="L261" s="304"/>
      <c r="M261" s="304"/>
      <c r="N261" s="304"/>
      <c r="O261" s="304"/>
      <c r="P261" s="304"/>
    </row>
    <row r="262" spans="1:16" ht="18.75" hidden="1" x14ac:dyDescent="0.25">
      <c r="A262" s="307"/>
      <c r="B262" s="308"/>
      <c r="C262" s="308"/>
      <c r="D262" s="308"/>
      <c r="E262" s="332" t="s">
        <v>103</v>
      </c>
      <c r="F262" s="310"/>
      <c r="G262" s="311"/>
      <c r="H262" s="327" t="s">
        <v>33</v>
      </c>
      <c r="I262" s="319"/>
      <c r="J262" s="328"/>
      <c r="K262" s="330"/>
      <c r="L262" s="304"/>
      <c r="M262" s="304"/>
      <c r="N262" s="304"/>
      <c r="O262" s="304"/>
      <c r="P262" s="304"/>
    </row>
    <row r="263" spans="1:16" ht="18.75" hidden="1" x14ac:dyDescent="0.25">
      <c r="A263" s="307"/>
      <c r="B263" s="308"/>
      <c r="C263" s="308"/>
      <c r="D263" s="308"/>
      <c r="E263" s="332" t="s">
        <v>104</v>
      </c>
      <c r="F263" s="310"/>
      <c r="G263" s="311"/>
      <c r="H263" s="327" t="s">
        <v>54</v>
      </c>
      <c r="I263" s="319"/>
      <c r="J263" s="328"/>
      <c r="K263" s="330"/>
      <c r="L263" s="304"/>
      <c r="M263" s="304"/>
      <c r="N263" s="304"/>
      <c r="O263" s="304"/>
      <c r="P263" s="304"/>
    </row>
    <row r="264" spans="1:16" ht="19.5" x14ac:dyDescent="0.3">
      <c r="A264" s="261" t="s">
        <v>107</v>
      </c>
      <c r="B264" s="262"/>
      <c r="C264" s="262"/>
      <c r="D264" s="263"/>
      <c r="E264" s="263"/>
      <c r="F264" s="263"/>
      <c r="G264" s="264"/>
      <c r="H264" s="264"/>
      <c r="I264" s="265"/>
      <c r="J264" s="265"/>
      <c r="K264" s="266"/>
      <c r="L264" s="266"/>
      <c r="M264" s="266"/>
      <c r="N264" s="266"/>
      <c r="O264" s="266"/>
      <c r="P264" s="266"/>
    </row>
    <row r="265" spans="1:16" ht="19.5" x14ac:dyDescent="0.3">
      <c r="A265" s="267"/>
      <c r="B265" s="268" t="s">
        <v>108</v>
      </c>
      <c r="C265" s="269"/>
      <c r="D265" s="170"/>
      <c r="E265" s="170"/>
      <c r="F265" s="170"/>
      <c r="G265" s="171"/>
      <c r="H265" s="270" t="s">
        <v>33</v>
      </c>
      <c r="I265" s="333">
        <v>0</v>
      </c>
      <c r="J265" s="333">
        <v>0</v>
      </c>
      <c r="K265" s="272">
        <f>IF(I265&gt;0,J265*100/I265,0)</f>
        <v>0</v>
      </c>
      <c r="L265" s="273"/>
      <c r="M265" s="273"/>
      <c r="N265" s="273"/>
      <c r="O265" s="273"/>
      <c r="P265" s="273"/>
    </row>
    <row r="266" spans="1:16" ht="19.5" x14ac:dyDescent="0.3">
      <c r="A266" s="157"/>
      <c r="B266" s="53"/>
      <c r="C266" s="158" t="s">
        <v>16</v>
      </c>
      <c r="D266" s="159" t="s">
        <v>17</v>
      </c>
      <c r="E266" s="53"/>
      <c r="F266" s="53"/>
      <c r="G266" s="55"/>
      <c r="H266" s="160" t="s">
        <v>12</v>
      </c>
      <c r="I266" s="57"/>
      <c r="J266" s="57"/>
      <c r="K266" s="58"/>
      <c r="L266" s="161">
        <f t="shared" ref="L266:N266" ca="1" si="108">L267+L268</f>
        <v>0</v>
      </c>
      <c r="M266" s="161">
        <f t="shared" ca="1" si="108"/>
        <v>0</v>
      </c>
      <c r="N266" s="161">
        <f t="shared" ca="1" si="108"/>
        <v>0</v>
      </c>
      <c r="O266" s="161">
        <f t="shared" ref="O266:O274" ca="1" si="109">IF(L266&gt;0,N266*100/L266,0)</f>
        <v>0</v>
      </c>
      <c r="P266" s="161">
        <f t="shared" ref="P266:P274" ca="1" si="110">IF(M266&gt;0,N266*100/M266,0)</f>
        <v>0</v>
      </c>
    </row>
    <row r="267" spans="1:16" ht="18.75" x14ac:dyDescent="0.25">
      <c r="A267" s="157"/>
      <c r="B267" s="53"/>
      <c r="C267" s="53"/>
      <c r="D267" s="53"/>
      <c r="E267" s="60" t="s">
        <v>18</v>
      </c>
      <c r="F267" s="53"/>
      <c r="G267" s="55"/>
      <c r="H267" s="162" t="s">
        <v>12</v>
      </c>
      <c r="I267" s="57"/>
      <c r="J267" s="57"/>
      <c r="K267" s="58"/>
      <c r="L267" s="59">
        <f t="shared" ref="L267:N267" ca="1" si="111">L270+L273</f>
        <v>0</v>
      </c>
      <c r="M267" s="59">
        <f t="shared" ca="1" si="111"/>
        <v>0</v>
      </c>
      <c r="N267" s="59">
        <f t="shared" ca="1" si="111"/>
        <v>0</v>
      </c>
      <c r="O267" s="59">
        <f t="shared" ca="1" si="109"/>
        <v>0</v>
      </c>
      <c r="P267" s="59">
        <f t="shared" ca="1" si="110"/>
        <v>0</v>
      </c>
    </row>
    <row r="268" spans="1:16" ht="18.75" x14ac:dyDescent="0.25">
      <c r="A268" s="157"/>
      <c r="B268" s="53"/>
      <c r="C268" s="53"/>
      <c r="D268" s="53"/>
      <c r="E268" s="60" t="s">
        <v>19</v>
      </c>
      <c r="F268" s="53"/>
      <c r="G268" s="55"/>
      <c r="H268" s="162" t="s">
        <v>12</v>
      </c>
      <c r="I268" s="57"/>
      <c r="J268" s="57"/>
      <c r="K268" s="58"/>
      <c r="L268" s="59">
        <f t="shared" ref="L268:N268" ca="1" si="112">L271+L274</f>
        <v>0</v>
      </c>
      <c r="M268" s="59">
        <f t="shared" ca="1" si="112"/>
        <v>0</v>
      </c>
      <c r="N268" s="59">
        <f t="shared" ca="1" si="112"/>
        <v>0</v>
      </c>
      <c r="O268" s="59">
        <f t="shared" ca="1" si="109"/>
        <v>0</v>
      </c>
      <c r="P268" s="59">
        <f t="shared" ca="1" si="110"/>
        <v>0</v>
      </c>
    </row>
    <row r="269" spans="1:16" ht="18.75" x14ac:dyDescent="0.25">
      <c r="A269" s="157"/>
      <c r="B269" s="53"/>
      <c r="C269" s="53"/>
      <c r="D269" s="54" t="s">
        <v>20</v>
      </c>
      <c r="E269" s="53"/>
      <c r="F269" s="53"/>
      <c r="G269" s="55"/>
      <c r="H269" s="163" t="s">
        <v>12</v>
      </c>
      <c r="I269" s="164"/>
      <c r="J269" s="164"/>
      <c r="K269" s="165"/>
      <c r="L269" s="59">
        <f t="shared" ref="L269:N269" ca="1" si="113">L270+L271</f>
        <v>0</v>
      </c>
      <c r="M269" s="59">
        <f t="shared" ca="1" si="113"/>
        <v>0</v>
      </c>
      <c r="N269" s="59">
        <f t="shared" ca="1" si="113"/>
        <v>0</v>
      </c>
      <c r="O269" s="59">
        <f t="shared" ca="1" si="109"/>
        <v>0</v>
      </c>
      <c r="P269" s="59">
        <f t="shared" ca="1" si="110"/>
        <v>0</v>
      </c>
    </row>
    <row r="270" spans="1:16" ht="18.75" x14ac:dyDescent="0.25">
      <c r="A270" s="157"/>
      <c r="B270" s="53"/>
      <c r="C270" s="53"/>
      <c r="D270" s="53"/>
      <c r="E270" s="60" t="s">
        <v>34</v>
      </c>
      <c r="F270" s="53"/>
      <c r="G270" s="55"/>
      <c r="H270" s="163" t="s">
        <v>12</v>
      </c>
      <c r="I270" s="164"/>
      <c r="J270" s="164"/>
      <c r="K270" s="165"/>
      <c r="L270" s="59">
        <f ca="1">IFERROR(__xludf.DUMMYFUNCTION("IMPORTRANGE(""https://docs.google.com/spreadsheets/d/1yhBcrRPreicbMKl9Bu_Snb2-OcQAF62RKfhTLhJ2eAA/edit?usp=sharing"",""กาฬสินธุ์!L270"")+IMPORTRANGE(""https://docs.google.com/spreadsheets/d/1aHkj4IaQMThhwWwevcOymEh837vdxeC_PycurhTbGFA/edit?usp=sharing"","&amp;"""ขอนแก่น!L270"")+IMPORTRANGE(""https://docs.google.com/spreadsheets/d/1FvTu2DsIWUjP6WCWra38Bkj_oOl_sOMf14r5Fg5srxU/edit?usp=sharing"",""ชัยภูมิ!L270"")+IMPORTRANGE(""https://docs.google.com/spreadsheets/d/1XVB7oCJ3pr-vBUdflwPQ8Z2LlzhnCvZaaYjAfP-647E/edit"&amp;"?usp=sharing"",""นครพนม!L270"")+IMPORTRANGE(""https://docs.google.com/spreadsheets/d/1Mnpb-8PYAgn85W6KOTD40hc_Xc55CaLfHoGAbrZ8tls/edit?usp=sharing"",""นครราชสีมา!L270"")+IMPORTRANGE(""https://docs.google.com/spreadsheets/d/1xoDLGBv9CYbyosIhki0kTq6IpYNj-gp"&amp;"jxfobnaDiut0/edit?usp=sharing"",""บึงกาฬ!L270"")+IMPORTRANGE(""https://docs.google.com/spreadsheets/d/1MMPq-JyI6DSgQETxuSiXkesP-P7JHuemnE6QJIa-Nlw/edit?usp=sharing"",""บุรีรัมย์!L270"")+IMPORTRANGE(""https://docs.google.com/spreadsheets/d/1l6IZ8xUPgMrESzc"&amp;"TYwhA1k_tPjeQjJPTqlm8Gd9eU5g/edit?usp=sharing"",""มหาสารคาม!L270"")+IMPORTRANGE(""https://docs.google.com/spreadsheets/d/1uB74YLqNjWX6FObjekfB2NtSYigTQyR2rq9u4Ub2Sq4/edit?usp=sharing"",""มุกดาหาร!L270"")+IMPORTRANGE(""https://docs.google.com/spreadsheets/"&amp;"d/1NexK3geCPxCTO1fzNF8dPec7yZyUx3OaWkFBC9HsQOo/edit?usp=sharing"",""ยโสธร!L270"")+IMPORTRANGE(""https://docs.google.com/spreadsheets/d/1v_cJrbBlyqmnHPReHk44g9NrMRdENNlSy_E_c5M9fIg/edit?usp=sharing"",""ร้อยเอ็ด!L270"")+IMPORTRANGE(""https://docs.google.com"&amp;"/spreadsheets/d/1Ul4RCpCX66NxYADU1QpwAPjOmBzW64SsT11s1wzXw_c/edit?usp=sharing"",""เลย!L270"")+IMPORTRANGE(""https://docs.google.com/spreadsheets/d/1bRrNKwbHDVktQG10isr5vbWRtt5spIZPpkOSWgbT5ug/edit?usp=sharing"",""ศรีสะเกษ!L270"")+IMPORTRANGE(""https://doc"&amp;"s.google.com/spreadsheets/d/17P34_Ow5kFBfdQD0qspb2UuPX5zpi6WMrQzslghyvrI/edit?usp=sharing"",""สกลนคร!L270"")+IMPORTRANGE(""https://docs.google.com/spreadsheets/d/1yswqbM3-AEpThF3ZSUa1AcmHnmRTF1vlJ1CZGcJ8YuU/edit?usp=sharing"",""สุรินทร์!L270"")+IMPORTRANG"&amp;"E(""https://docs.google.com/spreadsheets/d/13JHU_EFbsQOUQ0JSQ3dWy1VTRosIWcDq6Nc99z2qzdc/edit?usp=sharing"",""หนองคาย!L270"")+IMPORTRANGE(""https://docs.google.com/spreadsheets/d/1Hx73zIEgVdDZZaYSTc46Dqv64atFhpr3GelxLbaIN8A/edit?usp=sharing"",""หนองบัวลำภู"&amp;"!L270"")+IMPORTRANGE(""https://docs.google.com/spreadsheets/d/1lFxr3ctmjFN90yc-xV6jrQ9Ty8BKYVBWnAZ15wcNIJc/edit?usp=sharing"",""อำนาจเจริญ!L270"")+IMPORTRANGE(""https://docs.google.com/spreadsheets/d/1gF7RJpRnL-1oyjyeWxs5SFWEH7y8ahOZsQlyp2A2e-A/edit?usp=s"&amp;"haring"",""อุดรธานี!L270"")+IMPORTRANGE(""https://docs.google.com/spreadsheets/d/1kfLP0j3INXRa8bTDpcEmoWewMBV61jlFlfzczfjWIgc/edit?usp=sharing"",""อุบลราชธานี!L270"")"),0)</f>
        <v>0</v>
      </c>
      <c r="M270" s="59">
        <f ca="1">IFERROR(__xludf.DUMMYFUNCTION("IMPORTRANGE(""https://docs.google.com/spreadsheets/d/1yhBcrRPreicbMKl9Bu_Snb2-OcQAF62RKfhTLhJ2eAA/edit?usp=sharing"",""กาฬสินธุ์!M270"")+IMPORTRANGE(""https://docs.google.com/spreadsheets/d/1aHkj4IaQMThhwWwevcOymEh837vdxeC_PycurhTbGFA/edit?usp=sharing"","&amp;"""ขอนแก่น!M270"")+IMPORTRANGE(""https://docs.google.com/spreadsheets/d/1FvTu2DsIWUjP6WCWra38Bkj_oOl_sOMf14r5Fg5srxU/edit?usp=sharing"",""ชัยภูมิ!M270"")+IMPORTRANGE(""https://docs.google.com/spreadsheets/d/1XVB7oCJ3pr-vBUdflwPQ8Z2LlzhnCvZaaYjAfP-647E/edit"&amp;"?usp=sharing"",""นครพนม!M270"")+IMPORTRANGE(""https://docs.google.com/spreadsheets/d/1Mnpb-8PYAgn85W6KOTD40hc_Xc55CaLfHoGAbrZ8tls/edit?usp=sharing"",""นครราชสีมา!M270"")+IMPORTRANGE(""https://docs.google.com/spreadsheets/d/1xoDLGBv9CYbyosIhki0kTq6IpYNj-gp"&amp;"jxfobnaDiut0/edit?usp=sharing"",""บึงกาฬ!M270"")+IMPORTRANGE(""https://docs.google.com/spreadsheets/d/1MMPq-JyI6DSgQETxuSiXkesP-P7JHuemnE6QJIa-Nlw/edit?usp=sharing"",""บุรีรัมย์!M270"")+IMPORTRANGE(""https://docs.google.com/spreadsheets/d/1l6IZ8xUPgMrESzc"&amp;"TYwhA1k_tPjeQjJPTqlm8Gd9eU5g/edit?usp=sharing"",""มหาสารคาม!M270"")+IMPORTRANGE(""https://docs.google.com/spreadsheets/d/1uB74YLqNjWX6FObjekfB2NtSYigTQyR2rq9u4Ub2Sq4/edit?usp=sharing"",""มุกดาหาร!M270"")+IMPORTRANGE(""https://docs.google.com/spreadsheets/"&amp;"d/1NexK3geCPxCTO1fzNF8dPec7yZyUx3OaWkFBC9HsQOo/edit?usp=sharing"",""ยโสธร!M270"")+IMPORTRANGE(""https://docs.google.com/spreadsheets/d/1v_cJrbBlyqmnHPReHk44g9NrMRdENNlSy_E_c5M9fIg/edit?usp=sharing"",""ร้อยเอ็ด!M270"")+IMPORTRANGE(""https://docs.google.com"&amp;"/spreadsheets/d/1Ul4RCpCX66NxYADU1QpwAPjOmBzW64SsT11s1wzXw_c/edit?usp=sharing"",""เลย!M270"")+IMPORTRANGE(""https://docs.google.com/spreadsheets/d/1bRrNKwbHDVktQG10isr5vbWRtt5spIZPpkOSWgbT5ug/edit?usp=sharing"",""ศรีสะเกษ!M270"")+IMPORTRANGE(""https://doc"&amp;"s.google.com/spreadsheets/d/17P34_Ow5kFBfdQD0qspb2UuPX5zpi6WMrQzslghyvrI/edit?usp=sharing"",""สกลนคร!M270"")+IMPORTRANGE(""https://docs.google.com/spreadsheets/d/1yswqbM3-AEpThF3ZSUa1AcmHnmRTF1vlJ1CZGcJ8YuU/edit?usp=sharing"",""สุรินทร์!M270"")+IMPORTRANG"&amp;"E(""https://docs.google.com/spreadsheets/d/13JHU_EFbsQOUQ0JSQ3dWy1VTRosIWcDq6Nc99z2qzdc/edit?usp=sharing"",""หนองคาย!M270"")+IMPORTRANGE(""https://docs.google.com/spreadsheets/d/1Hx73zIEgVdDZZaYSTc46Dqv64atFhpr3GelxLbaIN8A/edit?usp=sharing"",""หนองบัวลำภู"&amp;"!M270"")+IMPORTRANGE(""https://docs.google.com/spreadsheets/d/1lFxr3ctmjFN90yc-xV6jrQ9Ty8BKYVBWnAZ15wcNIJc/edit?usp=sharing"",""อำนาจเจริญ!M270"")+IMPORTRANGE(""https://docs.google.com/spreadsheets/d/1gF7RJpRnL-1oyjyeWxs5SFWEH7y8ahOZsQlyp2A2e-A/edit?usp=s"&amp;"haring"",""อุดรธานี!M270"")+IMPORTRANGE(""https://docs.google.com/spreadsheets/d/1kfLP0j3INXRa8bTDpcEmoWewMBV61jlFlfzczfjWIgc/edit?usp=sharing"",""อุบลราชธานี!M270"")"),0)</f>
        <v>0</v>
      </c>
      <c r="N270" s="59">
        <f ca="1">IFERROR(__xludf.DUMMYFUNCTION("IMPORTRANGE(""https://docs.google.com/spreadsheets/d/1yhBcrRPreicbMKl9Bu_Snb2-OcQAF62RKfhTLhJ2eAA/edit?usp=sharing"",""กาฬสินธุ์!N270"")+IMPORTRANGE(""https://docs.google.com/spreadsheets/d/1aHkj4IaQMThhwWwevcOymEh837vdxeC_PycurhTbGFA/edit?usp=sharing"","&amp;"""ขอนแก่น!N270"")+IMPORTRANGE(""https://docs.google.com/spreadsheets/d/1FvTu2DsIWUjP6WCWra38Bkj_oOl_sOMf14r5Fg5srxU/edit?usp=sharing"",""ชัยภูมิ!N270"")+IMPORTRANGE(""https://docs.google.com/spreadsheets/d/1XVB7oCJ3pr-vBUdflwPQ8Z2LlzhnCvZaaYjAfP-647E/edit"&amp;"?usp=sharing"",""นครพนม!N270"")+IMPORTRANGE(""https://docs.google.com/spreadsheets/d/1Mnpb-8PYAgn85W6KOTD40hc_Xc55CaLfHoGAbrZ8tls/edit?usp=sharing"",""นครราชสีมา!N270"")+IMPORTRANGE(""https://docs.google.com/spreadsheets/d/1xoDLGBv9CYbyosIhki0kTq6IpYNj-gp"&amp;"jxfobnaDiut0/edit?usp=sharing"",""บึงกาฬ!N270"")+IMPORTRANGE(""https://docs.google.com/spreadsheets/d/1MMPq-JyI6DSgQETxuSiXkesP-P7JHuemnE6QJIa-Nlw/edit?usp=sharing"",""บุรีรัมย์!N270"")+IMPORTRANGE(""https://docs.google.com/spreadsheets/d/1l6IZ8xUPgMrESzc"&amp;"TYwhA1k_tPjeQjJPTqlm8Gd9eU5g/edit?usp=sharing"",""มหาสารคาม!N270"")+IMPORTRANGE(""https://docs.google.com/spreadsheets/d/1uB74YLqNjWX6FObjekfB2NtSYigTQyR2rq9u4Ub2Sq4/edit?usp=sharing"",""มุกดาหาร!N270"")+IMPORTRANGE(""https://docs.google.com/spreadsheets/"&amp;"d/1NexK3geCPxCTO1fzNF8dPec7yZyUx3OaWkFBC9HsQOo/edit?usp=sharing"",""ยโสธร!N270"")+IMPORTRANGE(""https://docs.google.com/spreadsheets/d/1v_cJrbBlyqmnHPReHk44g9NrMRdENNlSy_E_c5M9fIg/edit?usp=sharing"",""ร้อยเอ็ด!N270"")+IMPORTRANGE(""https://docs.google.com"&amp;"/spreadsheets/d/1Ul4RCpCX66NxYADU1QpwAPjOmBzW64SsT11s1wzXw_c/edit?usp=sharing"",""เลย!N270"")+IMPORTRANGE(""https://docs.google.com/spreadsheets/d/1bRrNKwbHDVktQG10isr5vbWRtt5spIZPpkOSWgbT5ug/edit?usp=sharing"",""ศรีสะเกษ!N270"")+IMPORTRANGE(""https://doc"&amp;"s.google.com/spreadsheets/d/17P34_Ow5kFBfdQD0qspb2UuPX5zpi6WMrQzslghyvrI/edit?usp=sharing"",""สกลนคร!N270"")+IMPORTRANGE(""https://docs.google.com/spreadsheets/d/1yswqbM3-AEpThF3ZSUa1AcmHnmRTF1vlJ1CZGcJ8YuU/edit?usp=sharing"",""สุรินทร์!N270"")+IMPORTRANG"&amp;"E(""https://docs.google.com/spreadsheets/d/13JHU_EFbsQOUQ0JSQ3dWy1VTRosIWcDq6Nc99z2qzdc/edit?usp=sharing"",""หนองคาย!N270"")+IMPORTRANGE(""https://docs.google.com/spreadsheets/d/1Hx73zIEgVdDZZaYSTc46Dqv64atFhpr3GelxLbaIN8A/edit?usp=sharing"",""หนองบัวลำภู"&amp;"!N270"")+IMPORTRANGE(""https://docs.google.com/spreadsheets/d/1lFxr3ctmjFN90yc-xV6jrQ9Ty8BKYVBWnAZ15wcNIJc/edit?usp=sharing"",""อำนาจเจริญ!N270"")+IMPORTRANGE(""https://docs.google.com/spreadsheets/d/1gF7RJpRnL-1oyjyeWxs5SFWEH7y8ahOZsQlyp2A2e-A/edit?usp=s"&amp;"haring"",""อุดรธานี!N270"")+IMPORTRANGE(""https://docs.google.com/spreadsheets/d/1kfLP0j3INXRa8bTDpcEmoWewMBV61jlFlfzczfjWIgc/edit?usp=sharing"",""อุบลราชธานี!N270"")"),0)</f>
        <v>0</v>
      </c>
      <c r="O270" s="59">
        <f t="shared" ca="1" si="109"/>
        <v>0</v>
      </c>
      <c r="P270" s="59">
        <f t="shared" ca="1" si="110"/>
        <v>0</v>
      </c>
    </row>
    <row r="271" spans="1:16" ht="18.75" x14ac:dyDescent="0.25">
      <c r="A271" s="157"/>
      <c r="B271" s="53"/>
      <c r="C271" s="53"/>
      <c r="D271" s="53"/>
      <c r="E271" s="60" t="s">
        <v>35</v>
      </c>
      <c r="F271" s="53"/>
      <c r="G271" s="55"/>
      <c r="H271" s="163" t="s">
        <v>12</v>
      </c>
      <c r="I271" s="164"/>
      <c r="J271" s="164"/>
      <c r="K271" s="165"/>
      <c r="L271" s="59">
        <f ca="1">IFERROR(__xludf.DUMMYFUNCTION("IMPORTRANGE(""https://docs.google.com/spreadsheets/d/1yhBcrRPreicbMKl9Bu_Snb2-OcQAF62RKfhTLhJ2eAA/edit?usp=sharing"",""กาฬสินธุ์!L271"")+IMPORTRANGE(""https://docs.google.com/spreadsheets/d/1aHkj4IaQMThhwWwevcOymEh837vdxeC_PycurhTbGFA/edit?usp=sharing"","&amp;"""ขอนแก่น!L271"")+IMPORTRANGE(""https://docs.google.com/spreadsheets/d/1FvTu2DsIWUjP6WCWra38Bkj_oOl_sOMf14r5Fg5srxU/edit?usp=sharing"",""ชัยภูมิ!L271"")+IMPORTRANGE(""https://docs.google.com/spreadsheets/d/1XVB7oCJ3pr-vBUdflwPQ8Z2LlzhnCvZaaYjAfP-647E/edit"&amp;"?usp=sharing"",""นครพนม!L271"")+IMPORTRANGE(""https://docs.google.com/spreadsheets/d/1Mnpb-8PYAgn85W6KOTD40hc_Xc55CaLfHoGAbrZ8tls/edit?usp=sharing"",""นครราชสีมา!L271"")+IMPORTRANGE(""https://docs.google.com/spreadsheets/d/1xoDLGBv9CYbyosIhki0kTq6IpYNj-gp"&amp;"jxfobnaDiut0/edit?usp=sharing"",""บึงกาฬ!L271"")+IMPORTRANGE(""https://docs.google.com/spreadsheets/d/1MMPq-JyI6DSgQETxuSiXkesP-P7JHuemnE6QJIa-Nlw/edit?usp=sharing"",""บุรีรัมย์!L271"")+IMPORTRANGE(""https://docs.google.com/spreadsheets/d/1l6IZ8xUPgMrESzc"&amp;"TYwhA1k_tPjeQjJPTqlm8Gd9eU5g/edit?usp=sharing"",""มหาสารคาม!L271"")+IMPORTRANGE(""https://docs.google.com/spreadsheets/d/1uB74YLqNjWX6FObjekfB2NtSYigTQyR2rq9u4Ub2Sq4/edit?usp=sharing"",""มุกดาหาร!L271"")+IMPORTRANGE(""https://docs.google.com/spreadsheets/"&amp;"d/1NexK3geCPxCTO1fzNF8dPec7yZyUx3OaWkFBC9HsQOo/edit?usp=sharing"",""ยโสธร!L271"")+IMPORTRANGE(""https://docs.google.com/spreadsheets/d/1v_cJrbBlyqmnHPReHk44g9NrMRdENNlSy_E_c5M9fIg/edit?usp=sharing"",""ร้อยเอ็ด!L271"")+IMPORTRANGE(""https://docs.google.com"&amp;"/spreadsheets/d/1Ul4RCpCX66NxYADU1QpwAPjOmBzW64SsT11s1wzXw_c/edit?usp=sharing"",""เลย!L271"")+IMPORTRANGE(""https://docs.google.com/spreadsheets/d/1bRrNKwbHDVktQG10isr5vbWRtt5spIZPpkOSWgbT5ug/edit?usp=sharing"",""ศรีสะเกษ!L271"")+IMPORTRANGE(""https://doc"&amp;"s.google.com/spreadsheets/d/17P34_Ow5kFBfdQD0qspb2UuPX5zpi6WMrQzslghyvrI/edit?usp=sharing"",""สกลนคร!L271"")+IMPORTRANGE(""https://docs.google.com/spreadsheets/d/1yswqbM3-AEpThF3ZSUa1AcmHnmRTF1vlJ1CZGcJ8YuU/edit?usp=sharing"",""สุรินทร์!L271"")+IMPORTRANG"&amp;"E(""https://docs.google.com/spreadsheets/d/13JHU_EFbsQOUQ0JSQ3dWy1VTRosIWcDq6Nc99z2qzdc/edit?usp=sharing"",""หนองคาย!L271"")+IMPORTRANGE(""https://docs.google.com/spreadsheets/d/1Hx73zIEgVdDZZaYSTc46Dqv64atFhpr3GelxLbaIN8A/edit?usp=sharing"",""หนองบัวลำภู"&amp;"!L271"")+IMPORTRANGE(""https://docs.google.com/spreadsheets/d/1lFxr3ctmjFN90yc-xV6jrQ9Ty8BKYVBWnAZ15wcNIJc/edit?usp=sharing"",""อำนาจเจริญ!L271"")+IMPORTRANGE(""https://docs.google.com/spreadsheets/d/1gF7RJpRnL-1oyjyeWxs5SFWEH7y8ahOZsQlyp2A2e-A/edit?usp=s"&amp;"haring"",""อุดรธานี!L271"")+IMPORTRANGE(""https://docs.google.com/spreadsheets/d/1kfLP0j3INXRa8bTDpcEmoWewMBV61jlFlfzczfjWIgc/edit?usp=sharing"",""อุบลราชธานี!L271"")"),0)</f>
        <v>0</v>
      </c>
      <c r="M271" s="59">
        <f ca="1">IFERROR(__xludf.DUMMYFUNCTION("IMPORTRANGE(""https://docs.google.com/spreadsheets/d/1yhBcrRPreicbMKl9Bu_Snb2-OcQAF62RKfhTLhJ2eAA/edit?usp=sharing"",""กาฬสินธุ์!M271"")+IMPORTRANGE(""https://docs.google.com/spreadsheets/d/1aHkj4IaQMThhwWwevcOymEh837vdxeC_PycurhTbGFA/edit?usp=sharing"","&amp;"""ขอนแก่น!M271"")+IMPORTRANGE(""https://docs.google.com/spreadsheets/d/1FvTu2DsIWUjP6WCWra38Bkj_oOl_sOMf14r5Fg5srxU/edit?usp=sharing"",""ชัยภูมิ!M271"")+IMPORTRANGE(""https://docs.google.com/spreadsheets/d/1XVB7oCJ3pr-vBUdflwPQ8Z2LlzhnCvZaaYjAfP-647E/edit"&amp;"?usp=sharing"",""นครพนม!M271"")+IMPORTRANGE(""https://docs.google.com/spreadsheets/d/1Mnpb-8PYAgn85W6KOTD40hc_Xc55CaLfHoGAbrZ8tls/edit?usp=sharing"",""นครราชสีมา!M271"")+IMPORTRANGE(""https://docs.google.com/spreadsheets/d/1xoDLGBv9CYbyosIhki0kTq6IpYNj-gp"&amp;"jxfobnaDiut0/edit?usp=sharing"",""บึงกาฬ!M271"")+IMPORTRANGE(""https://docs.google.com/spreadsheets/d/1MMPq-JyI6DSgQETxuSiXkesP-P7JHuemnE6QJIa-Nlw/edit?usp=sharing"",""บุรีรัมย์!M271"")+IMPORTRANGE(""https://docs.google.com/spreadsheets/d/1l6IZ8xUPgMrESzc"&amp;"TYwhA1k_tPjeQjJPTqlm8Gd9eU5g/edit?usp=sharing"",""มหาสารคาม!M271"")+IMPORTRANGE(""https://docs.google.com/spreadsheets/d/1uB74YLqNjWX6FObjekfB2NtSYigTQyR2rq9u4Ub2Sq4/edit?usp=sharing"",""มุกดาหาร!M271"")+IMPORTRANGE(""https://docs.google.com/spreadsheets/"&amp;"d/1NexK3geCPxCTO1fzNF8dPec7yZyUx3OaWkFBC9HsQOo/edit?usp=sharing"",""ยโสธร!M271"")+IMPORTRANGE(""https://docs.google.com/spreadsheets/d/1v_cJrbBlyqmnHPReHk44g9NrMRdENNlSy_E_c5M9fIg/edit?usp=sharing"",""ร้อยเอ็ด!M271"")+IMPORTRANGE(""https://docs.google.com"&amp;"/spreadsheets/d/1Ul4RCpCX66NxYADU1QpwAPjOmBzW64SsT11s1wzXw_c/edit?usp=sharing"",""เลย!M271"")+IMPORTRANGE(""https://docs.google.com/spreadsheets/d/1bRrNKwbHDVktQG10isr5vbWRtt5spIZPpkOSWgbT5ug/edit?usp=sharing"",""ศรีสะเกษ!M271"")+IMPORTRANGE(""https://doc"&amp;"s.google.com/spreadsheets/d/17P34_Ow5kFBfdQD0qspb2UuPX5zpi6WMrQzslghyvrI/edit?usp=sharing"",""สกลนคร!M271"")+IMPORTRANGE(""https://docs.google.com/spreadsheets/d/1yswqbM3-AEpThF3ZSUa1AcmHnmRTF1vlJ1CZGcJ8YuU/edit?usp=sharing"",""สุรินทร์!M271"")+IMPORTRANG"&amp;"E(""https://docs.google.com/spreadsheets/d/13JHU_EFbsQOUQ0JSQ3dWy1VTRosIWcDq6Nc99z2qzdc/edit?usp=sharing"",""หนองคาย!M271"")+IMPORTRANGE(""https://docs.google.com/spreadsheets/d/1Hx73zIEgVdDZZaYSTc46Dqv64atFhpr3GelxLbaIN8A/edit?usp=sharing"",""หนองบัวลำภู"&amp;"!M271"")+IMPORTRANGE(""https://docs.google.com/spreadsheets/d/1lFxr3ctmjFN90yc-xV6jrQ9Ty8BKYVBWnAZ15wcNIJc/edit?usp=sharing"",""อำนาจเจริญ!M271"")+IMPORTRANGE(""https://docs.google.com/spreadsheets/d/1gF7RJpRnL-1oyjyeWxs5SFWEH7y8ahOZsQlyp2A2e-A/edit?usp=s"&amp;"haring"",""อุดรธานี!M271"")+IMPORTRANGE(""https://docs.google.com/spreadsheets/d/1kfLP0j3INXRa8bTDpcEmoWewMBV61jlFlfzczfjWIgc/edit?usp=sharing"",""อุบลราชธานี!M271"")"),0)</f>
        <v>0</v>
      </c>
      <c r="N271" s="59">
        <f ca="1">IFERROR(__xludf.DUMMYFUNCTION("IMPORTRANGE(""https://docs.google.com/spreadsheets/d/1yhBcrRPreicbMKl9Bu_Snb2-OcQAF62RKfhTLhJ2eAA/edit?usp=sharing"",""กาฬสินธุ์!N271"")+IMPORTRANGE(""https://docs.google.com/spreadsheets/d/1aHkj4IaQMThhwWwevcOymEh837vdxeC_PycurhTbGFA/edit?usp=sharing"","&amp;"""ขอนแก่น!N271"")+IMPORTRANGE(""https://docs.google.com/spreadsheets/d/1FvTu2DsIWUjP6WCWra38Bkj_oOl_sOMf14r5Fg5srxU/edit?usp=sharing"",""ชัยภูมิ!N271"")+IMPORTRANGE(""https://docs.google.com/spreadsheets/d/1XVB7oCJ3pr-vBUdflwPQ8Z2LlzhnCvZaaYjAfP-647E/edit"&amp;"?usp=sharing"",""นครพนม!N271"")+IMPORTRANGE(""https://docs.google.com/spreadsheets/d/1Mnpb-8PYAgn85W6KOTD40hc_Xc55CaLfHoGAbrZ8tls/edit?usp=sharing"",""นครราชสีมา!N271"")+IMPORTRANGE(""https://docs.google.com/spreadsheets/d/1xoDLGBv9CYbyosIhki0kTq6IpYNj-gp"&amp;"jxfobnaDiut0/edit?usp=sharing"",""บึงกาฬ!N271"")+IMPORTRANGE(""https://docs.google.com/spreadsheets/d/1MMPq-JyI6DSgQETxuSiXkesP-P7JHuemnE6QJIa-Nlw/edit?usp=sharing"",""บุรีรัมย์!N271"")+IMPORTRANGE(""https://docs.google.com/spreadsheets/d/1l6IZ8xUPgMrESzc"&amp;"TYwhA1k_tPjeQjJPTqlm8Gd9eU5g/edit?usp=sharing"",""มหาสารคาม!N271"")+IMPORTRANGE(""https://docs.google.com/spreadsheets/d/1uB74YLqNjWX6FObjekfB2NtSYigTQyR2rq9u4Ub2Sq4/edit?usp=sharing"",""มุกดาหาร!N271"")+IMPORTRANGE(""https://docs.google.com/spreadsheets/"&amp;"d/1NexK3geCPxCTO1fzNF8dPec7yZyUx3OaWkFBC9HsQOo/edit?usp=sharing"",""ยโสธร!N271"")+IMPORTRANGE(""https://docs.google.com/spreadsheets/d/1v_cJrbBlyqmnHPReHk44g9NrMRdENNlSy_E_c5M9fIg/edit?usp=sharing"",""ร้อยเอ็ด!N271"")+IMPORTRANGE(""https://docs.google.com"&amp;"/spreadsheets/d/1Ul4RCpCX66NxYADU1QpwAPjOmBzW64SsT11s1wzXw_c/edit?usp=sharing"",""เลย!N271"")+IMPORTRANGE(""https://docs.google.com/spreadsheets/d/1bRrNKwbHDVktQG10isr5vbWRtt5spIZPpkOSWgbT5ug/edit?usp=sharing"",""ศรีสะเกษ!N271"")+IMPORTRANGE(""https://doc"&amp;"s.google.com/spreadsheets/d/17P34_Ow5kFBfdQD0qspb2UuPX5zpi6WMrQzslghyvrI/edit?usp=sharing"",""สกลนคร!N271"")+IMPORTRANGE(""https://docs.google.com/spreadsheets/d/1yswqbM3-AEpThF3ZSUa1AcmHnmRTF1vlJ1CZGcJ8YuU/edit?usp=sharing"",""สุรินทร์!N271"")+IMPORTRANG"&amp;"E(""https://docs.google.com/spreadsheets/d/13JHU_EFbsQOUQ0JSQ3dWy1VTRosIWcDq6Nc99z2qzdc/edit?usp=sharing"",""หนองคาย!N271"")+IMPORTRANGE(""https://docs.google.com/spreadsheets/d/1Hx73zIEgVdDZZaYSTc46Dqv64atFhpr3GelxLbaIN8A/edit?usp=sharing"",""หนองบัวลำภู"&amp;"!N271"")+IMPORTRANGE(""https://docs.google.com/spreadsheets/d/1lFxr3ctmjFN90yc-xV6jrQ9Ty8BKYVBWnAZ15wcNIJc/edit?usp=sharing"",""อำนาจเจริญ!N271"")+IMPORTRANGE(""https://docs.google.com/spreadsheets/d/1gF7RJpRnL-1oyjyeWxs5SFWEH7y8ahOZsQlyp2A2e-A/edit?usp=s"&amp;"haring"",""อุดรธานี!N271"")+IMPORTRANGE(""https://docs.google.com/spreadsheets/d/1kfLP0j3INXRa8bTDpcEmoWewMBV61jlFlfzczfjWIgc/edit?usp=sharing"",""อุบลราชธานี!N271"")"),0)</f>
        <v>0</v>
      </c>
      <c r="O271" s="59">
        <f t="shared" ca="1" si="109"/>
        <v>0</v>
      </c>
      <c r="P271" s="59">
        <f t="shared" ca="1" si="110"/>
        <v>0</v>
      </c>
    </row>
    <row r="272" spans="1:16" ht="18.75" x14ac:dyDescent="0.25">
      <c r="A272" s="157"/>
      <c r="B272" s="53"/>
      <c r="C272" s="53"/>
      <c r="D272" s="54" t="s">
        <v>21</v>
      </c>
      <c r="E272" s="53"/>
      <c r="F272" s="53"/>
      <c r="G272" s="55"/>
      <c r="H272" s="166" t="s">
        <v>12</v>
      </c>
      <c r="I272" s="164"/>
      <c r="J272" s="164"/>
      <c r="K272" s="165"/>
      <c r="L272" s="59">
        <f t="shared" ref="L272:N272" ca="1" si="114">L273+L274</f>
        <v>0</v>
      </c>
      <c r="M272" s="59">
        <f t="shared" ca="1" si="114"/>
        <v>0</v>
      </c>
      <c r="N272" s="59">
        <f t="shared" ca="1" si="114"/>
        <v>0</v>
      </c>
      <c r="O272" s="59">
        <f t="shared" ca="1" si="109"/>
        <v>0</v>
      </c>
      <c r="P272" s="59">
        <f t="shared" ca="1" si="110"/>
        <v>0</v>
      </c>
    </row>
    <row r="273" spans="1:16" ht="18.75" x14ac:dyDescent="0.25">
      <c r="A273" s="157"/>
      <c r="B273" s="53"/>
      <c r="C273" s="53"/>
      <c r="D273" s="53"/>
      <c r="E273" s="60" t="s">
        <v>18</v>
      </c>
      <c r="F273" s="53"/>
      <c r="G273" s="55"/>
      <c r="H273" s="163" t="s">
        <v>12</v>
      </c>
      <c r="I273" s="164"/>
      <c r="J273" s="164"/>
      <c r="K273" s="165"/>
      <c r="L273" s="59">
        <f ca="1">IFERROR(__xludf.DUMMYFUNCTION("IMPORTRANGE(""https://docs.google.com/spreadsheets/d/1yhBcrRPreicbMKl9Bu_Snb2-OcQAF62RKfhTLhJ2eAA/edit?usp=sharing"",""กาฬสินธุ์!L273"")+IMPORTRANGE(""https://docs.google.com/spreadsheets/d/1aHkj4IaQMThhwWwevcOymEh837vdxeC_PycurhTbGFA/edit?usp=sharing"","&amp;"""ขอนแก่น!L273"")+IMPORTRANGE(""https://docs.google.com/spreadsheets/d/1FvTu2DsIWUjP6WCWra38Bkj_oOl_sOMf14r5Fg5srxU/edit?usp=sharing"",""ชัยภูมิ!L273"")+IMPORTRANGE(""https://docs.google.com/spreadsheets/d/1XVB7oCJ3pr-vBUdflwPQ8Z2LlzhnCvZaaYjAfP-647E/edit"&amp;"?usp=sharing"",""นครพนม!L273"")+IMPORTRANGE(""https://docs.google.com/spreadsheets/d/1Mnpb-8PYAgn85W6KOTD40hc_Xc55CaLfHoGAbrZ8tls/edit?usp=sharing"",""นครราชสีมา!L273"")+IMPORTRANGE(""https://docs.google.com/spreadsheets/d/1xoDLGBv9CYbyosIhki0kTq6IpYNj-gp"&amp;"jxfobnaDiut0/edit?usp=sharing"",""บึงกาฬ!L273"")+IMPORTRANGE(""https://docs.google.com/spreadsheets/d/1MMPq-JyI6DSgQETxuSiXkesP-P7JHuemnE6QJIa-Nlw/edit?usp=sharing"",""บุรีรัมย์!L273"")+IMPORTRANGE(""https://docs.google.com/spreadsheets/d/1l6IZ8xUPgMrESzc"&amp;"TYwhA1k_tPjeQjJPTqlm8Gd9eU5g/edit?usp=sharing"",""มหาสารคาม!L273"")+IMPORTRANGE(""https://docs.google.com/spreadsheets/d/1uB74YLqNjWX6FObjekfB2NtSYigTQyR2rq9u4Ub2Sq4/edit?usp=sharing"",""มุกดาหาร!L273"")+IMPORTRANGE(""https://docs.google.com/spreadsheets/"&amp;"d/1NexK3geCPxCTO1fzNF8dPec7yZyUx3OaWkFBC9HsQOo/edit?usp=sharing"",""ยโสธร!L273"")+IMPORTRANGE(""https://docs.google.com/spreadsheets/d/1v_cJrbBlyqmnHPReHk44g9NrMRdENNlSy_E_c5M9fIg/edit?usp=sharing"",""ร้อยเอ็ด!L273"")+IMPORTRANGE(""https://docs.google.com"&amp;"/spreadsheets/d/1Ul4RCpCX66NxYADU1QpwAPjOmBzW64SsT11s1wzXw_c/edit?usp=sharing"",""เลย!L273"")+IMPORTRANGE(""https://docs.google.com/spreadsheets/d/1bRrNKwbHDVktQG10isr5vbWRtt5spIZPpkOSWgbT5ug/edit?usp=sharing"",""ศรีสะเกษ!L273"")+IMPORTRANGE(""https://doc"&amp;"s.google.com/spreadsheets/d/17P34_Ow5kFBfdQD0qspb2UuPX5zpi6WMrQzslghyvrI/edit?usp=sharing"",""สกลนคร!L273"")+IMPORTRANGE(""https://docs.google.com/spreadsheets/d/1yswqbM3-AEpThF3ZSUa1AcmHnmRTF1vlJ1CZGcJ8YuU/edit?usp=sharing"",""สุรินทร์!L273"")+IMPORTRANG"&amp;"E(""https://docs.google.com/spreadsheets/d/13JHU_EFbsQOUQ0JSQ3dWy1VTRosIWcDq6Nc99z2qzdc/edit?usp=sharing"",""หนองคาย!L273"")+IMPORTRANGE(""https://docs.google.com/spreadsheets/d/1Hx73zIEgVdDZZaYSTc46Dqv64atFhpr3GelxLbaIN8A/edit?usp=sharing"",""หนองบัวลำภู"&amp;"!L273"")+IMPORTRANGE(""https://docs.google.com/spreadsheets/d/1lFxr3ctmjFN90yc-xV6jrQ9Ty8BKYVBWnAZ15wcNIJc/edit?usp=sharing"",""อำนาจเจริญ!L273"")+IMPORTRANGE(""https://docs.google.com/spreadsheets/d/1gF7RJpRnL-1oyjyeWxs5SFWEH7y8ahOZsQlyp2A2e-A/edit?usp=s"&amp;"haring"",""อุดรธานี!L273"")+IMPORTRANGE(""https://docs.google.com/spreadsheets/d/1kfLP0j3INXRa8bTDpcEmoWewMBV61jlFlfzczfjWIgc/edit?usp=sharing"",""อุบลราชธานี!L273"")"),0)</f>
        <v>0</v>
      </c>
      <c r="M273" s="59">
        <f ca="1">IFERROR(__xludf.DUMMYFUNCTION("IMPORTRANGE(""https://docs.google.com/spreadsheets/d/1yhBcrRPreicbMKl9Bu_Snb2-OcQAF62RKfhTLhJ2eAA/edit?usp=sharing"",""กาฬสินธุ์!M273"")+IMPORTRANGE(""https://docs.google.com/spreadsheets/d/1aHkj4IaQMThhwWwevcOymEh837vdxeC_PycurhTbGFA/edit?usp=sharing"","&amp;"""ขอนแก่น!M273"")+IMPORTRANGE(""https://docs.google.com/spreadsheets/d/1FvTu2DsIWUjP6WCWra38Bkj_oOl_sOMf14r5Fg5srxU/edit?usp=sharing"",""ชัยภูมิ!M273"")+IMPORTRANGE(""https://docs.google.com/spreadsheets/d/1XVB7oCJ3pr-vBUdflwPQ8Z2LlzhnCvZaaYjAfP-647E/edit"&amp;"?usp=sharing"",""นครพนม!M273"")+IMPORTRANGE(""https://docs.google.com/spreadsheets/d/1Mnpb-8PYAgn85W6KOTD40hc_Xc55CaLfHoGAbrZ8tls/edit?usp=sharing"",""นครราชสีมา!M273"")+IMPORTRANGE(""https://docs.google.com/spreadsheets/d/1xoDLGBv9CYbyosIhki0kTq6IpYNj-gp"&amp;"jxfobnaDiut0/edit?usp=sharing"",""บึงกาฬ!M273"")+IMPORTRANGE(""https://docs.google.com/spreadsheets/d/1MMPq-JyI6DSgQETxuSiXkesP-P7JHuemnE6QJIa-Nlw/edit?usp=sharing"",""บุรีรัมย์!M273"")+IMPORTRANGE(""https://docs.google.com/spreadsheets/d/1l6IZ8xUPgMrESzc"&amp;"TYwhA1k_tPjeQjJPTqlm8Gd9eU5g/edit?usp=sharing"",""มหาสารคาม!M273"")+IMPORTRANGE(""https://docs.google.com/spreadsheets/d/1uB74YLqNjWX6FObjekfB2NtSYigTQyR2rq9u4Ub2Sq4/edit?usp=sharing"",""มุกดาหาร!M273"")+IMPORTRANGE(""https://docs.google.com/spreadsheets/"&amp;"d/1NexK3geCPxCTO1fzNF8dPec7yZyUx3OaWkFBC9HsQOo/edit?usp=sharing"",""ยโสธร!M273"")+IMPORTRANGE(""https://docs.google.com/spreadsheets/d/1v_cJrbBlyqmnHPReHk44g9NrMRdENNlSy_E_c5M9fIg/edit?usp=sharing"",""ร้อยเอ็ด!M273"")+IMPORTRANGE(""https://docs.google.com"&amp;"/spreadsheets/d/1Ul4RCpCX66NxYADU1QpwAPjOmBzW64SsT11s1wzXw_c/edit?usp=sharing"",""เลย!M273"")+IMPORTRANGE(""https://docs.google.com/spreadsheets/d/1bRrNKwbHDVktQG10isr5vbWRtt5spIZPpkOSWgbT5ug/edit?usp=sharing"",""ศรีสะเกษ!M273"")+IMPORTRANGE(""https://doc"&amp;"s.google.com/spreadsheets/d/17P34_Ow5kFBfdQD0qspb2UuPX5zpi6WMrQzslghyvrI/edit?usp=sharing"",""สกลนคร!M273"")+IMPORTRANGE(""https://docs.google.com/spreadsheets/d/1yswqbM3-AEpThF3ZSUa1AcmHnmRTF1vlJ1CZGcJ8YuU/edit?usp=sharing"",""สุรินทร์!M273"")+IMPORTRANG"&amp;"E(""https://docs.google.com/spreadsheets/d/13JHU_EFbsQOUQ0JSQ3dWy1VTRosIWcDq6Nc99z2qzdc/edit?usp=sharing"",""หนองคาย!M273"")+IMPORTRANGE(""https://docs.google.com/spreadsheets/d/1Hx73zIEgVdDZZaYSTc46Dqv64atFhpr3GelxLbaIN8A/edit?usp=sharing"",""หนองบัวลำภู"&amp;"!M273"")+IMPORTRANGE(""https://docs.google.com/spreadsheets/d/1lFxr3ctmjFN90yc-xV6jrQ9Ty8BKYVBWnAZ15wcNIJc/edit?usp=sharing"",""อำนาจเจริญ!M273"")+IMPORTRANGE(""https://docs.google.com/spreadsheets/d/1gF7RJpRnL-1oyjyeWxs5SFWEH7y8ahOZsQlyp2A2e-A/edit?usp=s"&amp;"haring"",""อุดรธานี!M273"")+IMPORTRANGE(""https://docs.google.com/spreadsheets/d/1kfLP0j3INXRa8bTDpcEmoWewMBV61jlFlfzczfjWIgc/edit?usp=sharing"",""อุบลราชธานี!M273"")"),0)</f>
        <v>0</v>
      </c>
      <c r="N273" s="59">
        <f ca="1">IFERROR(__xludf.DUMMYFUNCTION("IMPORTRANGE(""https://docs.google.com/spreadsheets/d/1yhBcrRPreicbMKl9Bu_Snb2-OcQAF62RKfhTLhJ2eAA/edit?usp=sharing"",""กาฬสินธุ์!N273"")+IMPORTRANGE(""https://docs.google.com/spreadsheets/d/1aHkj4IaQMThhwWwevcOymEh837vdxeC_PycurhTbGFA/edit?usp=sharing"","&amp;"""ขอนแก่น!N273"")+IMPORTRANGE(""https://docs.google.com/spreadsheets/d/1FvTu2DsIWUjP6WCWra38Bkj_oOl_sOMf14r5Fg5srxU/edit?usp=sharing"",""ชัยภูมิ!N273"")+IMPORTRANGE(""https://docs.google.com/spreadsheets/d/1XVB7oCJ3pr-vBUdflwPQ8Z2LlzhnCvZaaYjAfP-647E/edit"&amp;"?usp=sharing"",""นครพนม!N273"")+IMPORTRANGE(""https://docs.google.com/spreadsheets/d/1Mnpb-8PYAgn85W6KOTD40hc_Xc55CaLfHoGAbrZ8tls/edit?usp=sharing"",""นครราชสีมา!N273"")+IMPORTRANGE(""https://docs.google.com/spreadsheets/d/1xoDLGBv9CYbyosIhki0kTq6IpYNj-gp"&amp;"jxfobnaDiut0/edit?usp=sharing"",""บึงกาฬ!N273"")+IMPORTRANGE(""https://docs.google.com/spreadsheets/d/1MMPq-JyI6DSgQETxuSiXkesP-P7JHuemnE6QJIa-Nlw/edit?usp=sharing"",""บุรีรัมย์!N273"")+IMPORTRANGE(""https://docs.google.com/spreadsheets/d/1l6IZ8xUPgMrESzc"&amp;"TYwhA1k_tPjeQjJPTqlm8Gd9eU5g/edit?usp=sharing"",""มหาสารคาม!N273"")+IMPORTRANGE(""https://docs.google.com/spreadsheets/d/1uB74YLqNjWX6FObjekfB2NtSYigTQyR2rq9u4Ub2Sq4/edit?usp=sharing"",""มุกดาหาร!N273"")+IMPORTRANGE(""https://docs.google.com/spreadsheets/"&amp;"d/1NexK3geCPxCTO1fzNF8dPec7yZyUx3OaWkFBC9HsQOo/edit?usp=sharing"",""ยโสธร!N273"")+IMPORTRANGE(""https://docs.google.com/spreadsheets/d/1v_cJrbBlyqmnHPReHk44g9NrMRdENNlSy_E_c5M9fIg/edit?usp=sharing"",""ร้อยเอ็ด!N273"")+IMPORTRANGE(""https://docs.google.com"&amp;"/spreadsheets/d/1Ul4RCpCX66NxYADU1QpwAPjOmBzW64SsT11s1wzXw_c/edit?usp=sharing"",""เลย!N273"")+IMPORTRANGE(""https://docs.google.com/spreadsheets/d/1bRrNKwbHDVktQG10isr5vbWRtt5spIZPpkOSWgbT5ug/edit?usp=sharing"",""ศรีสะเกษ!N273"")+IMPORTRANGE(""https://doc"&amp;"s.google.com/spreadsheets/d/17P34_Ow5kFBfdQD0qspb2UuPX5zpi6WMrQzslghyvrI/edit?usp=sharing"",""สกลนคร!N273"")+IMPORTRANGE(""https://docs.google.com/spreadsheets/d/1yswqbM3-AEpThF3ZSUa1AcmHnmRTF1vlJ1CZGcJ8YuU/edit?usp=sharing"",""สุรินทร์!N273"")+IMPORTRANG"&amp;"E(""https://docs.google.com/spreadsheets/d/13JHU_EFbsQOUQ0JSQ3dWy1VTRosIWcDq6Nc99z2qzdc/edit?usp=sharing"",""หนองคาย!N273"")+IMPORTRANGE(""https://docs.google.com/spreadsheets/d/1Hx73zIEgVdDZZaYSTc46Dqv64atFhpr3GelxLbaIN8A/edit?usp=sharing"",""หนองบัวลำภู"&amp;"!N273"")+IMPORTRANGE(""https://docs.google.com/spreadsheets/d/1lFxr3ctmjFN90yc-xV6jrQ9Ty8BKYVBWnAZ15wcNIJc/edit?usp=sharing"",""อำนาจเจริญ!N273"")+IMPORTRANGE(""https://docs.google.com/spreadsheets/d/1gF7RJpRnL-1oyjyeWxs5SFWEH7y8ahOZsQlyp2A2e-A/edit?usp=s"&amp;"haring"",""อุดรธานี!N273"")+IMPORTRANGE(""https://docs.google.com/spreadsheets/d/1kfLP0j3INXRa8bTDpcEmoWewMBV61jlFlfzczfjWIgc/edit?usp=sharing"",""อุบลราชธานี!N273"")"),0)</f>
        <v>0</v>
      </c>
      <c r="O273" s="59">
        <f t="shared" ca="1" si="109"/>
        <v>0</v>
      </c>
      <c r="P273" s="59">
        <f t="shared" ca="1" si="110"/>
        <v>0</v>
      </c>
    </row>
    <row r="274" spans="1:16" ht="18.75" x14ac:dyDescent="0.25">
      <c r="A274" s="157"/>
      <c r="B274" s="53"/>
      <c r="C274" s="53"/>
      <c r="D274" s="53"/>
      <c r="E274" s="60" t="s">
        <v>19</v>
      </c>
      <c r="F274" s="53"/>
      <c r="G274" s="55"/>
      <c r="H274" s="166" t="s">
        <v>12</v>
      </c>
      <c r="I274" s="164"/>
      <c r="J274" s="164"/>
      <c r="K274" s="165"/>
      <c r="L274" s="59">
        <f ca="1">IFERROR(__xludf.DUMMYFUNCTION("IMPORTRANGE(""https://docs.google.com/spreadsheets/d/1yhBcrRPreicbMKl9Bu_Snb2-OcQAF62RKfhTLhJ2eAA/edit?usp=sharing"",""กาฬสินธุ์!L274"")+IMPORTRANGE(""https://docs.google.com/spreadsheets/d/1aHkj4IaQMThhwWwevcOymEh837vdxeC_PycurhTbGFA/edit?usp=sharing"","&amp;"""ขอนแก่น!L274"")+IMPORTRANGE(""https://docs.google.com/spreadsheets/d/1FvTu2DsIWUjP6WCWra38Bkj_oOl_sOMf14r5Fg5srxU/edit?usp=sharing"",""ชัยภูมิ!L274"")+IMPORTRANGE(""https://docs.google.com/spreadsheets/d/1XVB7oCJ3pr-vBUdflwPQ8Z2LlzhnCvZaaYjAfP-647E/edit"&amp;"?usp=sharing"",""นครพนม!L274"")+IMPORTRANGE(""https://docs.google.com/spreadsheets/d/1Mnpb-8PYAgn85W6KOTD40hc_Xc55CaLfHoGAbrZ8tls/edit?usp=sharing"",""นครราชสีมา!L274"")+IMPORTRANGE(""https://docs.google.com/spreadsheets/d/1xoDLGBv9CYbyosIhki0kTq6IpYNj-gp"&amp;"jxfobnaDiut0/edit?usp=sharing"",""บึงกาฬ!L274"")+IMPORTRANGE(""https://docs.google.com/spreadsheets/d/1MMPq-JyI6DSgQETxuSiXkesP-P7JHuemnE6QJIa-Nlw/edit?usp=sharing"",""บุรีรัมย์!L274"")+IMPORTRANGE(""https://docs.google.com/spreadsheets/d/1l6IZ8xUPgMrESzc"&amp;"TYwhA1k_tPjeQjJPTqlm8Gd9eU5g/edit?usp=sharing"",""มหาสารคาม!L274"")+IMPORTRANGE(""https://docs.google.com/spreadsheets/d/1uB74YLqNjWX6FObjekfB2NtSYigTQyR2rq9u4Ub2Sq4/edit?usp=sharing"",""มุกดาหาร!L274"")+IMPORTRANGE(""https://docs.google.com/spreadsheets/"&amp;"d/1NexK3geCPxCTO1fzNF8dPec7yZyUx3OaWkFBC9HsQOo/edit?usp=sharing"",""ยโสธร!L274"")+IMPORTRANGE(""https://docs.google.com/spreadsheets/d/1v_cJrbBlyqmnHPReHk44g9NrMRdENNlSy_E_c5M9fIg/edit?usp=sharing"",""ร้อยเอ็ด!L274"")+IMPORTRANGE(""https://docs.google.com"&amp;"/spreadsheets/d/1Ul4RCpCX66NxYADU1QpwAPjOmBzW64SsT11s1wzXw_c/edit?usp=sharing"",""เลย!L274"")+IMPORTRANGE(""https://docs.google.com/spreadsheets/d/1bRrNKwbHDVktQG10isr5vbWRtt5spIZPpkOSWgbT5ug/edit?usp=sharing"",""ศรีสะเกษ!L274"")+IMPORTRANGE(""https://doc"&amp;"s.google.com/spreadsheets/d/17P34_Ow5kFBfdQD0qspb2UuPX5zpi6WMrQzslghyvrI/edit?usp=sharing"",""สกลนคร!L274"")+IMPORTRANGE(""https://docs.google.com/spreadsheets/d/1yswqbM3-AEpThF3ZSUa1AcmHnmRTF1vlJ1CZGcJ8YuU/edit?usp=sharing"",""สุรินทร์!L274"")+IMPORTRANG"&amp;"E(""https://docs.google.com/spreadsheets/d/13JHU_EFbsQOUQ0JSQ3dWy1VTRosIWcDq6Nc99z2qzdc/edit?usp=sharing"",""หนองคาย!L274"")+IMPORTRANGE(""https://docs.google.com/spreadsheets/d/1Hx73zIEgVdDZZaYSTc46Dqv64atFhpr3GelxLbaIN8A/edit?usp=sharing"",""หนองบัวลำภู"&amp;"!L274"")+IMPORTRANGE(""https://docs.google.com/spreadsheets/d/1lFxr3ctmjFN90yc-xV6jrQ9Ty8BKYVBWnAZ15wcNIJc/edit?usp=sharing"",""อำนาจเจริญ!L274"")+IMPORTRANGE(""https://docs.google.com/spreadsheets/d/1gF7RJpRnL-1oyjyeWxs5SFWEH7y8ahOZsQlyp2A2e-A/edit?usp=s"&amp;"haring"",""อุดรธานี!L274"")+IMPORTRANGE(""https://docs.google.com/spreadsheets/d/1kfLP0j3INXRa8bTDpcEmoWewMBV61jlFlfzczfjWIgc/edit?usp=sharing"",""อุบลราชธานี!L274"")"),0)</f>
        <v>0</v>
      </c>
      <c r="M274" s="59">
        <f ca="1">IFERROR(__xludf.DUMMYFUNCTION("IMPORTRANGE(""https://docs.google.com/spreadsheets/d/1yhBcrRPreicbMKl9Bu_Snb2-OcQAF62RKfhTLhJ2eAA/edit?usp=sharing"",""กาฬสินธุ์!M274"")+IMPORTRANGE(""https://docs.google.com/spreadsheets/d/1aHkj4IaQMThhwWwevcOymEh837vdxeC_PycurhTbGFA/edit?usp=sharing"","&amp;"""ขอนแก่น!M274"")+IMPORTRANGE(""https://docs.google.com/spreadsheets/d/1FvTu2DsIWUjP6WCWra38Bkj_oOl_sOMf14r5Fg5srxU/edit?usp=sharing"",""ชัยภูมิ!M274"")+IMPORTRANGE(""https://docs.google.com/spreadsheets/d/1XVB7oCJ3pr-vBUdflwPQ8Z2LlzhnCvZaaYjAfP-647E/edit"&amp;"?usp=sharing"",""นครพนม!M274"")+IMPORTRANGE(""https://docs.google.com/spreadsheets/d/1Mnpb-8PYAgn85W6KOTD40hc_Xc55CaLfHoGAbrZ8tls/edit?usp=sharing"",""นครราชสีมา!M274"")+IMPORTRANGE(""https://docs.google.com/spreadsheets/d/1xoDLGBv9CYbyosIhki0kTq6IpYNj-gp"&amp;"jxfobnaDiut0/edit?usp=sharing"",""บึงกาฬ!M274"")+IMPORTRANGE(""https://docs.google.com/spreadsheets/d/1MMPq-JyI6DSgQETxuSiXkesP-P7JHuemnE6QJIa-Nlw/edit?usp=sharing"",""บุรีรัมย์!M274"")+IMPORTRANGE(""https://docs.google.com/spreadsheets/d/1l6IZ8xUPgMrESzc"&amp;"TYwhA1k_tPjeQjJPTqlm8Gd9eU5g/edit?usp=sharing"",""มหาสารคาม!M274"")+IMPORTRANGE(""https://docs.google.com/spreadsheets/d/1uB74YLqNjWX6FObjekfB2NtSYigTQyR2rq9u4Ub2Sq4/edit?usp=sharing"",""มุกดาหาร!M274"")+IMPORTRANGE(""https://docs.google.com/spreadsheets/"&amp;"d/1NexK3geCPxCTO1fzNF8dPec7yZyUx3OaWkFBC9HsQOo/edit?usp=sharing"",""ยโสธร!M274"")+IMPORTRANGE(""https://docs.google.com/spreadsheets/d/1v_cJrbBlyqmnHPReHk44g9NrMRdENNlSy_E_c5M9fIg/edit?usp=sharing"",""ร้อยเอ็ด!M274"")+IMPORTRANGE(""https://docs.google.com"&amp;"/spreadsheets/d/1Ul4RCpCX66NxYADU1QpwAPjOmBzW64SsT11s1wzXw_c/edit?usp=sharing"",""เลย!M274"")+IMPORTRANGE(""https://docs.google.com/spreadsheets/d/1bRrNKwbHDVktQG10isr5vbWRtt5spIZPpkOSWgbT5ug/edit?usp=sharing"",""ศรีสะเกษ!M274"")+IMPORTRANGE(""https://doc"&amp;"s.google.com/spreadsheets/d/17P34_Ow5kFBfdQD0qspb2UuPX5zpi6WMrQzslghyvrI/edit?usp=sharing"",""สกลนคร!M274"")+IMPORTRANGE(""https://docs.google.com/spreadsheets/d/1yswqbM3-AEpThF3ZSUa1AcmHnmRTF1vlJ1CZGcJ8YuU/edit?usp=sharing"",""สุรินทร์!M274"")+IMPORTRANG"&amp;"E(""https://docs.google.com/spreadsheets/d/13JHU_EFbsQOUQ0JSQ3dWy1VTRosIWcDq6Nc99z2qzdc/edit?usp=sharing"",""หนองคาย!M274"")+IMPORTRANGE(""https://docs.google.com/spreadsheets/d/1Hx73zIEgVdDZZaYSTc46Dqv64atFhpr3GelxLbaIN8A/edit?usp=sharing"",""หนองบัวลำภู"&amp;"!M274"")+IMPORTRANGE(""https://docs.google.com/spreadsheets/d/1lFxr3ctmjFN90yc-xV6jrQ9Ty8BKYVBWnAZ15wcNIJc/edit?usp=sharing"",""อำนาจเจริญ!M274"")+IMPORTRANGE(""https://docs.google.com/spreadsheets/d/1gF7RJpRnL-1oyjyeWxs5SFWEH7y8ahOZsQlyp2A2e-A/edit?usp=s"&amp;"haring"",""อุดรธานี!M274"")+IMPORTRANGE(""https://docs.google.com/spreadsheets/d/1kfLP0j3INXRa8bTDpcEmoWewMBV61jlFlfzczfjWIgc/edit?usp=sharing"",""อุบลราชธานี!M274"")"),0)</f>
        <v>0</v>
      </c>
      <c r="N274" s="59">
        <f ca="1">IFERROR(__xludf.DUMMYFUNCTION("IMPORTRANGE(""https://docs.google.com/spreadsheets/d/1yhBcrRPreicbMKl9Bu_Snb2-OcQAF62RKfhTLhJ2eAA/edit?usp=sharing"",""กาฬสินธุ์!N274"")+IMPORTRANGE(""https://docs.google.com/spreadsheets/d/1aHkj4IaQMThhwWwevcOymEh837vdxeC_PycurhTbGFA/edit?usp=sharing"","&amp;"""ขอนแก่น!N274"")+IMPORTRANGE(""https://docs.google.com/spreadsheets/d/1FvTu2DsIWUjP6WCWra38Bkj_oOl_sOMf14r5Fg5srxU/edit?usp=sharing"",""ชัยภูมิ!N274"")+IMPORTRANGE(""https://docs.google.com/spreadsheets/d/1XVB7oCJ3pr-vBUdflwPQ8Z2LlzhnCvZaaYjAfP-647E/edit"&amp;"?usp=sharing"",""นครพนม!N274"")+IMPORTRANGE(""https://docs.google.com/spreadsheets/d/1Mnpb-8PYAgn85W6KOTD40hc_Xc55CaLfHoGAbrZ8tls/edit?usp=sharing"",""นครราชสีมา!N274"")+IMPORTRANGE(""https://docs.google.com/spreadsheets/d/1xoDLGBv9CYbyosIhki0kTq6IpYNj-gp"&amp;"jxfobnaDiut0/edit?usp=sharing"",""บึงกาฬ!N274"")+IMPORTRANGE(""https://docs.google.com/spreadsheets/d/1MMPq-JyI6DSgQETxuSiXkesP-P7JHuemnE6QJIa-Nlw/edit?usp=sharing"",""บุรีรัมย์!N274"")+IMPORTRANGE(""https://docs.google.com/spreadsheets/d/1l6IZ8xUPgMrESzc"&amp;"TYwhA1k_tPjeQjJPTqlm8Gd9eU5g/edit?usp=sharing"",""มหาสารคาม!N274"")+IMPORTRANGE(""https://docs.google.com/spreadsheets/d/1uB74YLqNjWX6FObjekfB2NtSYigTQyR2rq9u4Ub2Sq4/edit?usp=sharing"",""มุกดาหาร!N274"")+IMPORTRANGE(""https://docs.google.com/spreadsheets/"&amp;"d/1NexK3geCPxCTO1fzNF8dPec7yZyUx3OaWkFBC9HsQOo/edit?usp=sharing"",""ยโสธร!N274"")+IMPORTRANGE(""https://docs.google.com/spreadsheets/d/1v_cJrbBlyqmnHPReHk44g9NrMRdENNlSy_E_c5M9fIg/edit?usp=sharing"",""ร้อยเอ็ด!N274"")+IMPORTRANGE(""https://docs.google.com"&amp;"/spreadsheets/d/1Ul4RCpCX66NxYADU1QpwAPjOmBzW64SsT11s1wzXw_c/edit?usp=sharing"",""เลย!N274"")+IMPORTRANGE(""https://docs.google.com/spreadsheets/d/1bRrNKwbHDVktQG10isr5vbWRtt5spIZPpkOSWgbT5ug/edit?usp=sharing"",""ศรีสะเกษ!N274"")+IMPORTRANGE(""https://doc"&amp;"s.google.com/spreadsheets/d/17P34_Ow5kFBfdQD0qspb2UuPX5zpi6WMrQzslghyvrI/edit?usp=sharing"",""สกลนคร!N274"")+IMPORTRANGE(""https://docs.google.com/spreadsheets/d/1yswqbM3-AEpThF3ZSUa1AcmHnmRTF1vlJ1CZGcJ8YuU/edit?usp=sharing"",""สุรินทร์!N274"")+IMPORTRANG"&amp;"E(""https://docs.google.com/spreadsheets/d/13JHU_EFbsQOUQ0JSQ3dWy1VTRosIWcDq6Nc99z2qzdc/edit?usp=sharing"",""หนองคาย!N274"")+IMPORTRANGE(""https://docs.google.com/spreadsheets/d/1Hx73zIEgVdDZZaYSTc46Dqv64atFhpr3GelxLbaIN8A/edit?usp=sharing"",""หนองบัวลำภู"&amp;"!N274"")+IMPORTRANGE(""https://docs.google.com/spreadsheets/d/1lFxr3ctmjFN90yc-xV6jrQ9Ty8BKYVBWnAZ15wcNIJc/edit?usp=sharing"",""อำนาจเจริญ!N274"")+IMPORTRANGE(""https://docs.google.com/spreadsheets/d/1gF7RJpRnL-1oyjyeWxs5SFWEH7y8ahOZsQlyp2A2e-A/edit?usp=s"&amp;"haring"",""อุดรธานี!N274"")+IMPORTRANGE(""https://docs.google.com/spreadsheets/d/1kfLP0j3INXRa8bTDpcEmoWewMBV61jlFlfzczfjWIgc/edit?usp=sharing"",""อุบลราชธานี!N274"")"),0)</f>
        <v>0</v>
      </c>
      <c r="O274" s="59">
        <f t="shared" ca="1" si="109"/>
        <v>0</v>
      </c>
      <c r="P274" s="59">
        <f t="shared" ca="1" si="110"/>
        <v>0</v>
      </c>
    </row>
    <row r="275" spans="1:16" ht="19.5" x14ac:dyDescent="0.3">
      <c r="A275" s="167"/>
      <c r="B275" s="168"/>
      <c r="C275" s="334" t="s">
        <v>16</v>
      </c>
      <c r="D275" s="169" t="s">
        <v>36</v>
      </c>
      <c r="E275" s="170"/>
      <c r="F275" s="170"/>
      <c r="G275" s="171"/>
      <c r="H275" s="172"/>
      <c r="I275" s="164"/>
      <c r="J275" s="164"/>
      <c r="K275" s="165"/>
      <c r="L275" s="165"/>
      <c r="M275" s="165"/>
      <c r="N275" s="165"/>
      <c r="O275" s="165"/>
      <c r="P275" s="165"/>
    </row>
    <row r="276" spans="1:16" ht="18.75" hidden="1" x14ac:dyDescent="0.25">
      <c r="A276" s="335"/>
      <c r="B276" s="211"/>
      <c r="C276" s="211"/>
      <c r="D276" s="336"/>
      <c r="E276" s="17"/>
      <c r="F276" s="17"/>
      <c r="G276" s="20"/>
      <c r="H276" s="26"/>
      <c r="I276" s="212"/>
      <c r="J276" s="337"/>
      <c r="K276" s="27"/>
      <c r="L276" s="23"/>
      <c r="M276" s="23"/>
      <c r="N276" s="23"/>
      <c r="O276" s="23"/>
      <c r="P276" s="23"/>
    </row>
    <row r="277" spans="1:16" ht="18.75" x14ac:dyDescent="0.25">
      <c r="A277" s="338"/>
      <c r="B277" s="339"/>
      <c r="C277" s="339"/>
      <c r="D277" s="340" t="s">
        <v>109</v>
      </c>
      <c r="E277" s="341"/>
      <c r="F277" s="341"/>
      <c r="G277" s="342"/>
      <c r="H277" s="136" t="s">
        <v>33</v>
      </c>
      <c r="I277" s="343">
        <v>0</v>
      </c>
      <c r="J277" s="343">
        <v>0</v>
      </c>
      <c r="K277" s="344">
        <v>0</v>
      </c>
      <c r="L277" s="345"/>
      <c r="M277" s="345"/>
      <c r="N277" s="345"/>
      <c r="O277" s="345"/>
      <c r="P277" s="345"/>
    </row>
    <row r="278" spans="1:16" ht="19.5" x14ac:dyDescent="0.3">
      <c r="A278" s="346" t="s">
        <v>110</v>
      </c>
      <c r="B278" s="347"/>
      <c r="C278" s="347"/>
      <c r="D278" s="347"/>
      <c r="E278" s="348"/>
      <c r="F278" s="348"/>
      <c r="G278" s="348"/>
      <c r="H278" s="348"/>
      <c r="I278" s="349"/>
      <c r="J278" s="349"/>
      <c r="K278" s="350"/>
      <c r="L278" s="351"/>
      <c r="M278" s="351"/>
      <c r="N278" s="351"/>
      <c r="O278" s="351"/>
      <c r="P278" s="352"/>
    </row>
    <row r="279" spans="1:16" ht="19.5" x14ac:dyDescent="0.3">
      <c r="A279" s="353" t="s">
        <v>111</v>
      </c>
      <c r="B279" s="354"/>
      <c r="C279" s="355"/>
      <c r="D279" s="354"/>
      <c r="E279" s="354"/>
      <c r="F279" s="354"/>
      <c r="G279" s="354"/>
      <c r="H279" s="354"/>
      <c r="I279" s="356"/>
      <c r="J279" s="357"/>
      <c r="K279" s="358"/>
      <c r="L279" s="358"/>
      <c r="M279" s="358"/>
      <c r="N279" s="358"/>
      <c r="O279" s="358"/>
      <c r="P279" s="358"/>
    </row>
    <row r="280" spans="1:16" ht="19.5" x14ac:dyDescent="0.3">
      <c r="A280" s="359"/>
      <c r="B280" s="360" t="s">
        <v>112</v>
      </c>
      <c r="C280" s="361"/>
      <c r="D280" s="362"/>
      <c r="E280" s="361"/>
      <c r="F280" s="361"/>
      <c r="G280" s="363"/>
      <c r="H280" s="364" t="s">
        <v>33</v>
      </c>
      <c r="I280" s="365">
        <f t="shared" ref="I280:J280" ca="1" si="115">I293</f>
        <v>230</v>
      </c>
      <c r="J280" s="365">
        <f t="shared" ca="1" si="115"/>
        <v>0</v>
      </c>
      <c r="K280" s="366">
        <f t="shared" ref="K280:K281" ca="1" si="116">IF(I280&gt;0,J280*100/I280,0)</f>
        <v>0</v>
      </c>
      <c r="L280" s="367"/>
      <c r="M280" s="367"/>
      <c r="N280" s="367"/>
      <c r="O280" s="367"/>
      <c r="P280" s="367"/>
    </row>
    <row r="281" spans="1:16" ht="19.5" x14ac:dyDescent="0.3">
      <c r="A281" s="359"/>
      <c r="B281" s="361"/>
      <c r="C281" s="361"/>
      <c r="D281" s="362"/>
      <c r="E281" s="361"/>
      <c r="F281" s="361"/>
      <c r="G281" s="363"/>
      <c r="H281" s="364" t="s">
        <v>44</v>
      </c>
      <c r="I281" s="365">
        <f t="shared" ref="I281:J281" ca="1" si="117">I292</f>
        <v>2300</v>
      </c>
      <c r="J281" s="365">
        <f t="shared" ca="1" si="117"/>
        <v>0</v>
      </c>
      <c r="K281" s="366">
        <f t="shared" ca="1" si="116"/>
        <v>0</v>
      </c>
      <c r="L281" s="367"/>
      <c r="M281" s="367"/>
      <c r="N281" s="367"/>
      <c r="O281" s="367"/>
      <c r="P281" s="367"/>
    </row>
    <row r="282" spans="1:16" ht="19.5" x14ac:dyDescent="0.3">
      <c r="A282" s="157"/>
      <c r="B282" s="53"/>
      <c r="C282" s="158" t="s">
        <v>16</v>
      </c>
      <c r="D282" s="159" t="s">
        <v>17</v>
      </c>
      <c r="E282" s="53"/>
      <c r="F282" s="53"/>
      <c r="G282" s="55"/>
      <c r="H282" s="160" t="s">
        <v>12</v>
      </c>
      <c r="I282" s="57"/>
      <c r="J282" s="57"/>
      <c r="K282" s="58"/>
      <c r="L282" s="161">
        <f t="shared" ref="L282:N282" ca="1" si="118">L283+L284</f>
        <v>1104420</v>
      </c>
      <c r="M282" s="161">
        <f t="shared" ca="1" si="118"/>
        <v>887380</v>
      </c>
      <c r="N282" s="161">
        <f t="shared" ca="1" si="118"/>
        <v>247405.11</v>
      </c>
      <c r="O282" s="161">
        <f t="shared" ref="O282:O290" ca="1" si="119">IF(L282&gt;0,N282*100/L282,0)</f>
        <v>22.401360895311566</v>
      </c>
      <c r="P282" s="161">
        <f t="shared" ref="P282:P290" ca="1" si="120">IF(M282&gt;0,N282*100/M282,0)</f>
        <v>27.880401857152517</v>
      </c>
    </row>
    <row r="283" spans="1:16" ht="18.75" x14ac:dyDescent="0.25">
      <c r="A283" s="157"/>
      <c r="B283" s="53"/>
      <c r="C283" s="53"/>
      <c r="D283" s="53"/>
      <c r="E283" s="60" t="s">
        <v>18</v>
      </c>
      <c r="F283" s="53"/>
      <c r="G283" s="55"/>
      <c r="H283" s="162" t="s">
        <v>12</v>
      </c>
      <c r="I283" s="57"/>
      <c r="J283" s="57"/>
      <c r="K283" s="58"/>
      <c r="L283" s="59">
        <f t="shared" ref="L283:N283" ca="1" si="121">L286+L289</f>
        <v>0</v>
      </c>
      <c r="M283" s="59">
        <f t="shared" ca="1" si="121"/>
        <v>0</v>
      </c>
      <c r="N283" s="59">
        <f t="shared" ca="1" si="121"/>
        <v>0</v>
      </c>
      <c r="O283" s="59">
        <f t="shared" ca="1" si="119"/>
        <v>0</v>
      </c>
      <c r="P283" s="59">
        <f t="shared" ca="1" si="120"/>
        <v>0</v>
      </c>
    </row>
    <row r="284" spans="1:16" ht="18.75" x14ac:dyDescent="0.25">
      <c r="A284" s="157"/>
      <c r="B284" s="53"/>
      <c r="C284" s="53"/>
      <c r="D284" s="53"/>
      <c r="E284" s="60" t="s">
        <v>19</v>
      </c>
      <c r="F284" s="53"/>
      <c r="G284" s="55"/>
      <c r="H284" s="162" t="s">
        <v>12</v>
      </c>
      <c r="I284" s="57"/>
      <c r="J284" s="57"/>
      <c r="K284" s="58"/>
      <c r="L284" s="59">
        <f t="shared" ref="L284:N284" ca="1" si="122">L287+L290</f>
        <v>1104420</v>
      </c>
      <c r="M284" s="59">
        <f t="shared" ca="1" si="122"/>
        <v>887380</v>
      </c>
      <c r="N284" s="59">
        <f t="shared" ca="1" si="122"/>
        <v>247405.11</v>
      </c>
      <c r="O284" s="59">
        <f t="shared" ca="1" si="119"/>
        <v>22.401360895311566</v>
      </c>
      <c r="P284" s="59">
        <f t="shared" ca="1" si="120"/>
        <v>27.880401857152517</v>
      </c>
    </row>
    <row r="285" spans="1:16" ht="18.75" x14ac:dyDescent="0.25">
      <c r="A285" s="157"/>
      <c r="B285" s="53"/>
      <c r="C285" s="53"/>
      <c r="D285" s="54" t="s">
        <v>20</v>
      </c>
      <c r="E285" s="53"/>
      <c r="F285" s="53"/>
      <c r="G285" s="55"/>
      <c r="H285" s="163" t="s">
        <v>12</v>
      </c>
      <c r="I285" s="164"/>
      <c r="J285" s="164"/>
      <c r="K285" s="165"/>
      <c r="L285" s="59">
        <f t="shared" ref="L285:N285" ca="1" si="123">L286+L287</f>
        <v>1104420</v>
      </c>
      <c r="M285" s="59">
        <f t="shared" ca="1" si="123"/>
        <v>887380</v>
      </c>
      <c r="N285" s="59">
        <f t="shared" ca="1" si="123"/>
        <v>247405.11</v>
      </c>
      <c r="O285" s="59">
        <f t="shared" ca="1" si="119"/>
        <v>22.401360895311566</v>
      </c>
      <c r="P285" s="59">
        <f t="shared" ca="1" si="120"/>
        <v>27.880401857152517</v>
      </c>
    </row>
    <row r="286" spans="1:16" ht="18.75" x14ac:dyDescent="0.25">
      <c r="A286" s="157"/>
      <c r="B286" s="53"/>
      <c r="C286" s="53"/>
      <c r="D286" s="53"/>
      <c r="E286" s="60" t="s">
        <v>34</v>
      </c>
      <c r="F286" s="53"/>
      <c r="G286" s="55"/>
      <c r="H286" s="163" t="s">
        <v>12</v>
      </c>
      <c r="I286" s="164"/>
      <c r="J286" s="164"/>
      <c r="K286" s="165"/>
      <c r="L286" s="59">
        <f ca="1">IFERROR(__xludf.DUMMYFUNCTION("IMPORTRANGE(""https://docs.google.com/spreadsheets/d/1yhBcrRPreicbMKl9Bu_Snb2-OcQAF62RKfhTLhJ2eAA/edit?usp=sharing"",""กาฬสินธุ์!L286"")+IMPORTRANGE(""https://docs.google.com/spreadsheets/d/1aHkj4IaQMThhwWwevcOymEh837vdxeC_PycurhTbGFA/edit?usp=sharing"","&amp;"""ขอนแก่น!L286"")+IMPORTRANGE(""https://docs.google.com/spreadsheets/d/1FvTu2DsIWUjP6WCWra38Bkj_oOl_sOMf14r5Fg5srxU/edit?usp=sharing"",""ชัยภูมิ!L286"")+IMPORTRANGE(""https://docs.google.com/spreadsheets/d/1XVB7oCJ3pr-vBUdflwPQ8Z2LlzhnCvZaaYjAfP-647E/edit"&amp;"?usp=sharing"",""นครพนม!L286"")+IMPORTRANGE(""https://docs.google.com/spreadsheets/d/1Mnpb-8PYAgn85W6KOTD40hc_Xc55CaLfHoGAbrZ8tls/edit?usp=sharing"",""นครราชสีมา!L286"")+IMPORTRANGE(""https://docs.google.com/spreadsheets/d/1xoDLGBv9CYbyosIhki0kTq6IpYNj-gp"&amp;"jxfobnaDiut0/edit?usp=sharing"",""บึงกาฬ!L286"")+IMPORTRANGE(""https://docs.google.com/spreadsheets/d/1MMPq-JyI6DSgQETxuSiXkesP-P7JHuemnE6QJIa-Nlw/edit?usp=sharing"",""บุรีรัมย์!L286"")+IMPORTRANGE(""https://docs.google.com/spreadsheets/d/1l6IZ8xUPgMrESzc"&amp;"TYwhA1k_tPjeQjJPTqlm8Gd9eU5g/edit?usp=sharing"",""มหาสารคาม!L286"")+IMPORTRANGE(""https://docs.google.com/spreadsheets/d/1uB74YLqNjWX6FObjekfB2NtSYigTQyR2rq9u4Ub2Sq4/edit?usp=sharing"",""มุกดาหาร!L286"")+IMPORTRANGE(""https://docs.google.com/spreadsheets/"&amp;"d/1NexK3geCPxCTO1fzNF8dPec7yZyUx3OaWkFBC9HsQOo/edit?usp=sharing"",""ยโสธร!L286"")+IMPORTRANGE(""https://docs.google.com/spreadsheets/d/1v_cJrbBlyqmnHPReHk44g9NrMRdENNlSy_E_c5M9fIg/edit?usp=sharing"",""ร้อยเอ็ด!L286"")+IMPORTRANGE(""https://docs.google.com"&amp;"/spreadsheets/d/1Ul4RCpCX66NxYADU1QpwAPjOmBzW64SsT11s1wzXw_c/edit?usp=sharing"",""เลย!L286"")+IMPORTRANGE(""https://docs.google.com/spreadsheets/d/1bRrNKwbHDVktQG10isr5vbWRtt5spIZPpkOSWgbT5ug/edit?usp=sharing"",""ศรีสะเกษ!L286"")+IMPORTRANGE(""https://doc"&amp;"s.google.com/spreadsheets/d/17P34_Ow5kFBfdQD0qspb2UuPX5zpi6WMrQzslghyvrI/edit?usp=sharing"",""สกลนคร!L286"")+IMPORTRANGE(""https://docs.google.com/spreadsheets/d/1yswqbM3-AEpThF3ZSUa1AcmHnmRTF1vlJ1CZGcJ8YuU/edit?usp=sharing"",""สุรินทร์!L286"")+IMPORTRANG"&amp;"E(""https://docs.google.com/spreadsheets/d/13JHU_EFbsQOUQ0JSQ3dWy1VTRosIWcDq6Nc99z2qzdc/edit?usp=sharing"",""หนองคาย!L286"")+IMPORTRANGE(""https://docs.google.com/spreadsheets/d/1Hx73zIEgVdDZZaYSTc46Dqv64atFhpr3GelxLbaIN8A/edit?usp=sharing"",""หนองบัวลำภู"&amp;"!L286"")+IMPORTRANGE(""https://docs.google.com/spreadsheets/d/1lFxr3ctmjFN90yc-xV6jrQ9Ty8BKYVBWnAZ15wcNIJc/edit?usp=sharing"",""อำนาจเจริญ!L286"")+IMPORTRANGE(""https://docs.google.com/spreadsheets/d/1gF7RJpRnL-1oyjyeWxs5SFWEH7y8ahOZsQlyp2A2e-A/edit?usp=s"&amp;"haring"",""อุดรธานี!L286"")+IMPORTRANGE(""https://docs.google.com/spreadsheets/d/1kfLP0j3INXRa8bTDpcEmoWewMBV61jlFlfzczfjWIgc/edit?usp=sharing"",""อุบลราชธานี!L286"")"),0)</f>
        <v>0</v>
      </c>
      <c r="M286" s="59">
        <f ca="1">IFERROR(__xludf.DUMMYFUNCTION("IMPORTRANGE(""https://docs.google.com/spreadsheets/d/1yhBcrRPreicbMKl9Bu_Snb2-OcQAF62RKfhTLhJ2eAA/edit?usp=sharing"",""กาฬสินธุ์!M286"")+IMPORTRANGE(""https://docs.google.com/spreadsheets/d/1aHkj4IaQMThhwWwevcOymEh837vdxeC_PycurhTbGFA/edit?usp=sharing"","&amp;"""ขอนแก่น!M286"")+IMPORTRANGE(""https://docs.google.com/spreadsheets/d/1FvTu2DsIWUjP6WCWra38Bkj_oOl_sOMf14r5Fg5srxU/edit?usp=sharing"",""ชัยภูมิ!M286"")+IMPORTRANGE(""https://docs.google.com/spreadsheets/d/1XVB7oCJ3pr-vBUdflwPQ8Z2LlzhnCvZaaYjAfP-647E/edit"&amp;"?usp=sharing"",""นครพนม!M286"")+IMPORTRANGE(""https://docs.google.com/spreadsheets/d/1Mnpb-8PYAgn85W6KOTD40hc_Xc55CaLfHoGAbrZ8tls/edit?usp=sharing"",""นครราชสีมา!M286"")+IMPORTRANGE(""https://docs.google.com/spreadsheets/d/1xoDLGBv9CYbyosIhki0kTq6IpYNj-gp"&amp;"jxfobnaDiut0/edit?usp=sharing"",""บึงกาฬ!M286"")+IMPORTRANGE(""https://docs.google.com/spreadsheets/d/1MMPq-JyI6DSgQETxuSiXkesP-P7JHuemnE6QJIa-Nlw/edit?usp=sharing"",""บุรีรัมย์!M286"")+IMPORTRANGE(""https://docs.google.com/spreadsheets/d/1l6IZ8xUPgMrESzc"&amp;"TYwhA1k_tPjeQjJPTqlm8Gd9eU5g/edit?usp=sharing"",""มหาสารคาม!M286"")+IMPORTRANGE(""https://docs.google.com/spreadsheets/d/1uB74YLqNjWX6FObjekfB2NtSYigTQyR2rq9u4Ub2Sq4/edit?usp=sharing"",""มุกดาหาร!M286"")+IMPORTRANGE(""https://docs.google.com/spreadsheets/"&amp;"d/1NexK3geCPxCTO1fzNF8dPec7yZyUx3OaWkFBC9HsQOo/edit?usp=sharing"",""ยโสธร!M286"")+IMPORTRANGE(""https://docs.google.com/spreadsheets/d/1v_cJrbBlyqmnHPReHk44g9NrMRdENNlSy_E_c5M9fIg/edit?usp=sharing"",""ร้อยเอ็ด!M286"")+IMPORTRANGE(""https://docs.google.com"&amp;"/spreadsheets/d/1Ul4RCpCX66NxYADU1QpwAPjOmBzW64SsT11s1wzXw_c/edit?usp=sharing"",""เลย!M286"")+IMPORTRANGE(""https://docs.google.com/spreadsheets/d/1bRrNKwbHDVktQG10isr5vbWRtt5spIZPpkOSWgbT5ug/edit?usp=sharing"",""ศรีสะเกษ!M286"")+IMPORTRANGE(""https://doc"&amp;"s.google.com/spreadsheets/d/17P34_Ow5kFBfdQD0qspb2UuPX5zpi6WMrQzslghyvrI/edit?usp=sharing"",""สกลนคร!M286"")+IMPORTRANGE(""https://docs.google.com/spreadsheets/d/1yswqbM3-AEpThF3ZSUa1AcmHnmRTF1vlJ1CZGcJ8YuU/edit?usp=sharing"",""สุรินทร์!M286"")+IMPORTRANG"&amp;"E(""https://docs.google.com/spreadsheets/d/13JHU_EFbsQOUQ0JSQ3dWy1VTRosIWcDq6Nc99z2qzdc/edit?usp=sharing"",""หนองคาย!M286"")+IMPORTRANGE(""https://docs.google.com/spreadsheets/d/1Hx73zIEgVdDZZaYSTc46Dqv64atFhpr3GelxLbaIN8A/edit?usp=sharing"",""หนองบัวลำภู"&amp;"!M286"")+IMPORTRANGE(""https://docs.google.com/spreadsheets/d/1lFxr3ctmjFN90yc-xV6jrQ9Ty8BKYVBWnAZ15wcNIJc/edit?usp=sharing"",""อำนาจเจริญ!M286"")+IMPORTRANGE(""https://docs.google.com/spreadsheets/d/1gF7RJpRnL-1oyjyeWxs5SFWEH7y8ahOZsQlyp2A2e-A/edit?usp=s"&amp;"haring"",""อุดรธานี!M286"")+IMPORTRANGE(""https://docs.google.com/spreadsheets/d/1kfLP0j3INXRa8bTDpcEmoWewMBV61jlFlfzczfjWIgc/edit?usp=sharing"",""อุบลราชธานี!M286"")"),0)</f>
        <v>0</v>
      </c>
      <c r="N286" s="59">
        <f ca="1">IFERROR(__xludf.DUMMYFUNCTION("IMPORTRANGE(""https://docs.google.com/spreadsheets/d/1yhBcrRPreicbMKl9Bu_Snb2-OcQAF62RKfhTLhJ2eAA/edit?usp=sharing"",""กาฬสินธุ์!N286"")+IMPORTRANGE(""https://docs.google.com/spreadsheets/d/1aHkj4IaQMThhwWwevcOymEh837vdxeC_PycurhTbGFA/edit?usp=sharing"","&amp;"""ขอนแก่น!N286"")+IMPORTRANGE(""https://docs.google.com/spreadsheets/d/1FvTu2DsIWUjP6WCWra38Bkj_oOl_sOMf14r5Fg5srxU/edit?usp=sharing"",""ชัยภูมิ!N286"")+IMPORTRANGE(""https://docs.google.com/spreadsheets/d/1XVB7oCJ3pr-vBUdflwPQ8Z2LlzhnCvZaaYjAfP-647E/edit"&amp;"?usp=sharing"",""นครพนม!N286"")+IMPORTRANGE(""https://docs.google.com/spreadsheets/d/1Mnpb-8PYAgn85W6KOTD40hc_Xc55CaLfHoGAbrZ8tls/edit?usp=sharing"",""นครราชสีมา!N286"")+IMPORTRANGE(""https://docs.google.com/spreadsheets/d/1xoDLGBv9CYbyosIhki0kTq6IpYNj-gp"&amp;"jxfobnaDiut0/edit?usp=sharing"",""บึงกาฬ!N286"")+IMPORTRANGE(""https://docs.google.com/spreadsheets/d/1MMPq-JyI6DSgQETxuSiXkesP-P7JHuemnE6QJIa-Nlw/edit?usp=sharing"",""บุรีรัมย์!N286"")+IMPORTRANGE(""https://docs.google.com/spreadsheets/d/1l6IZ8xUPgMrESzc"&amp;"TYwhA1k_tPjeQjJPTqlm8Gd9eU5g/edit?usp=sharing"",""มหาสารคาม!N286"")+IMPORTRANGE(""https://docs.google.com/spreadsheets/d/1uB74YLqNjWX6FObjekfB2NtSYigTQyR2rq9u4Ub2Sq4/edit?usp=sharing"",""มุกดาหาร!N286"")+IMPORTRANGE(""https://docs.google.com/spreadsheets/"&amp;"d/1NexK3geCPxCTO1fzNF8dPec7yZyUx3OaWkFBC9HsQOo/edit?usp=sharing"",""ยโสธร!N286"")+IMPORTRANGE(""https://docs.google.com/spreadsheets/d/1v_cJrbBlyqmnHPReHk44g9NrMRdENNlSy_E_c5M9fIg/edit?usp=sharing"",""ร้อยเอ็ด!N286"")+IMPORTRANGE(""https://docs.google.com"&amp;"/spreadsheets/d/1Ul4RCpCX66NxYADU1QpwAPjOmBzW64SsT11s1wzXw_c/edit?usp=sharing"",""เลย!N286"")+IMPORTRANGE(""https://docs.google.com/spreadsheets/d/1bRrNKwbHDVktQG10isr5vbWRtt5spIZPpkOSWgbT5ug/edit?usp=sharing"",""ศรีสะเกษ!N286"")+IMPORTRANGE(""https://doc"&amp;"s.google.com/spreadsheets/d/17P34_Ow5kFBfdQD0qspb2UuPX5zpi6WMrQzslghyvrI/edit?usp=sharing"",""สกลนคร!N286"")+IMPORTRANGE(""https://docs.google.com/spreadsheets/d/1yswqbM3-AEpThF3ZSUa1AcmHnmRTF1vlJ1CZGcJ8YuU/edit?usp=sharing"",""สุรินทร์!N286"")+IMPORTRANG"&amp;"E(""https://docs.google.com/spreadsheets/d/13JHU_EFbsQOUQ0JSQ3dWy1VTRosIWcDq6Nc99z2qzdc/edit?usp=sharing"",""หนองคาย!N286"")+IMPORTRANGE(""https://docs.google.com/spreadsheets/d/1Hx73zIEgVdDZZaYSTc46Dqv64atFhpr3GelxLbaIN8A/edit?usp=sharing"",""หนองบัวลำภู"&amp;"!N286"")+IMPORTRANGE(""https://docs.google.com/spreadsheets/d/1lFxr3ctmjFN90yc-xV6jrQ9Ty8BKYVBWnAZ15wcNIJc/edit?usp=sharing"",""อำนาจเจริญ!N286"")+IMPORTRANGE(""https://docs.google.com/spreadsheets/d/1gF7RJpRnL-1oyjyeWxs5SFWEH7y8ahOZsQlyp2A2e-A/edit?usp=s"&amp;"haring"",""อุดรธานี!N286"")+IMPORTRANGE(""https://docs.google.com/spreadsheets/d/1kfLP0j3INXRa8bTDpcEmoWewMBV61jlFlfzczfjWIgc/edit?usp=sharing"",""อุบลราชธานี!N286"")"),0)</f>
        <v>0</v>
      </c>
      <c r="O286" s="59">
        <f t="shared" ca="1" si="119"/>
        <v>0</v>
      </c>
      <c r="P286" s="59">
        <f t="shared" ca="1" si="120"/>
        <v>0</v>
      </c>
    </row>
    <row r="287" spans="1:16" ht="18.75" x14ac:dyDescent="0.25">
      <c r="A287" s="157"/>
      <c r="B287" s="53"/>
      <c r="C287" s="53"/>
      <c r="D287" s="53"/>
      <c r="E287" s="60" t="s">
        <v>35</v>
      </c>
      <c r="F287" s="53"/>
      <c r="G287" s="55"/>
      <c r="H287" s="163" t="s">
        <v>12</v>
      </c>
      <c r="I287" s="164"/>
      <c r="J287" s="164"/>
      <c r="K287" s="165"/>
      <c r="L287" s="59">
        <f ca="1">IFERROR(__xludf.DUMMYFUNCTION("IMPORTRANGE(""https://docs.google.com/spreadsheets/d/1yhBcrRPreicbMKl9Bu_Snb2-OcQAF62RKfhTLhJ2eAA/edit?usp=sharing"",""กาฬสินธุ์!L287"")+IMPORTRANGE(""https://docs.google.com/spreadsheets/d/1aHkj4IaQMThhwWwevcOymEh837vdxeC_PycurhTbGFA/edit?usp=sharing"","&amp;"""ขอนแก่น!L287"")+IMPORTRANGE(""https://docs.google.com/spreadsheets/d/1FvTu2DsIWUjP6WCWra38Bkj_oOl_sOMf14r5Fg5srxU/edit?usp=sharing"",""ชัยภูมิ!L287"")+IMPORTRANGE(""https://docs.google.com/spreadsheets/d/1XVB7oCJ3pr-vBUdflwPQ8Z2LlzhnCvZaaYjAfP-647E/edit"&amp;"?usp=sharing"",""นครพนม!L287"")+IMPORTRANGE(""https://docs.google.com/spreadsheets/d/1Mnpb-8PYAgn85W6KOTD40hc_Xc55CaLfHoGAbrZ8tls/edit?usp=sharing"",""นครราชสีมา!L287"")+IMPORTRANGE(""https://docs.google.com/spreadsheets/d/1xoDLGBv9CYbyosIhki0kTq6IpYNj-gp"&amp;"jxfobnaDiut0/edit?usp=sharing"",""บึงกาฬ!L287"")+IMPORTRANGE(""https://docs.google.com/spreadsheets/d/1MMPq-JyI6DSgQETxuSiXkesP-P7JHuemnE6QJIa-Nlw/edit?usp=sharing"",""บุรีรัมย์!L287"")+IMPORTRANGE(""https://docs.google.com/spreadsheets/d/1l6IZ8xUPgMrESzc"&amp;"TYwhA1k_tPjeQjJPTqlm8Gd9eU5g/edit?usp=sharing"",""มหาสารคาม!L287"")+IMPORTRANGE(""https://docs.google.com/spreadsheets/d/1uB74YLqNjWX6FObjekfB2NtSYigTQyR2rq9u4Ub2Sq4/edit?usp=sharing"",""มุกดาหาร!L287"")+IMPORTRANGE(""https://docs.google.com/spreadsheets/"&amp;"d/1NexK3geCPxCTO1fzNF8dPec7yZyUx3OaWkFBC9HsQOo/edit?usp=sharing"",""ยโสธร!L287"")+IMPORTRANGE(""https://docs.google.com/spreadsheets/d/1v_cJrbBlyqmnHPReHk44g9NrMRdENNlSy_E_c5M9fIg/edit?usp=sharing"",""ร้อยเอ็ด!L287"")+IMPORTRANGE(""https://docs.google.com"&amp;"/spreadsheets/d/1Ul4RCpCX66NxYADU1QpwAPjOmBzW64SsT11s1wzXw_c/edit?usp=sharing"",""เลย!L287"")+IMPORTRANGE(""https://docs.google.com/spreadsheets/d/1bRrNKwbHDVktQG10isr5vbWRtt5spIZPpkOSWgbT5ug/edit?usp=sharing"",""ศรีสะเกษ!L287"")+IMPORTRANGE(""https://doc"&amp;"s.google.com/spreadsheets/d/17P34_Ow5kFBfdQD0qspb2UuPX5zpi6WMrQzslghyvrI/edit?usp=sharing"",""สกลนคร!L287"")+IMPORTRANGE(""https://docs.google.com/spreadsheets/d/1yswqbM3-AEpThF3ZSUa1AcmHnmRTF1vlJ1CZGcJ8YuU/edit?usp=sharing"",""สุรินทร์!L287"")+IMPORTRANG"&amp;"E(""https://docs.google.com/spreadsheets/d/13JHU_EFbsQOUQ0JSQ3dWy1VTRosIWcDq6Nc99z2qzdc/edit?usp=sharing"",""หนองคาย!L287"")+IMPORTRANGE(""https://docs.google.com/spreadsheets/d/1Hx73zIEgVdDZZaYSTc46Dqv64atFhpr3GelxLbaIN8A/edit?usp=sharing"",""หนองบัวลำภู"&amp;"!L287"")+IMPORTRANGE(""https://docs.google.com/spreadsheets/d/1lFxr3ctmjFN90yc-xV6jrQ9Ty8BKYVBWnAZ15wcNIJc/edit?usp=sharing"",""อำนาจเจริญ!L287"")+IMPORTRANGE(""https://docs.google.com/spreadsheets/d/1gF7RJpRnL-1oyjyeWxs5SFWEH7y8ahOZsQlyp2A2e-A/edit?usp=s"&amp;"haring"",""อุดรธานี!L287"")+IMPORTRANGE(""https://docs.google.com/spreadsheets/d/1kfLP0j3INXRa8bTDpcEmoWewMBV61jlFlfzczfjWIgc/edit?usp=sharing"",""อุบลราชธานี!L287"")"),1104420)</f>
        <v>1104420</v>
      </c>
      <c r="M287" s="59">
        <f ca="1">IFERROR(__xludf.DUMMYFUNCTION("IMPORTRANGE(""https://docs.google.com/spreadsheets/d/1yhBcrRPreicbMKl9Bu_Snb2-OcQAF62RKfhTLhJ2eAA/edit?usp=sharing"",""กาฬสินธุ์!M287"")+IMPORTRANGE(""https://docs.google.com/spreadsheets/d/1aHkj4IaQMThhwWwevcOymEh837vdxeC_PycurhTbGFA/edit?usp=sharing"","&amp;"""ขอนแก่น!M287"")+IMPORTRANGE(""https://docs.google.com/spreadsheets/d/1FvTu2DsIWUjP6WCWra38Bkj_oOl_sOMf14r5Fg5srxU/edit?usp=sharing"",""ชัยภูมิ!M287"")+IMPORTRANGE(""https://docs.google.com/spreadsheets/d/1XVB7oCJ3pr-vBUdflwPQ8Z2LlzhnCvZaaYjAfP-647E/edit"&amp;"?usp=sharing"",""นครพนม!M287"")+IMPORTRANGE(""https://docs.google.com/spreadsheets/d/1Mnpb-8PYAgn85W6KOTD40hc_Xc55CaLfHoGAbrZ8tls/edit?usp=sharing"",""นครราชสีมา!M287"")+IMPORTRANGE(""https://docs.google.com/spreadsheets/d/1xoDLGBv9CYbyosIhki0kTq6IpYNj-gp"&amp;"jxfobnaDiut0/edit?usp=sharing"",""บึงกาฬ!M287"")+IMPORTRANGE(""https://docs.google.com/spreadsheets/d/1MMPq-JyI6DSgQETxuSiXkesP-P7JHuemnE6QJIa-Nlw/edit?usp=sharing"",""บุรีรัมย์!M287"")+IMPORTRANGE(""https://docs.google.com/spreadsheets/d/1l6IZ8xUPgMrESzc"&amp;"TYwhA1k_tPjeQjJPTqlm8Gd9eU5g/edit?usp=sharing"",""มหาสารคาม!M287"")+IMPORTRANGE(""https://docs.google.com/spreadsheets/d/1uB74YLqNjWX6FObjekfB2NtSYigTQyR2rq9u4Ub2Sq4/edit?usp=sharing"",""มุกดาหาร!M287"")+IMPORTRANGE(""https://docs.google.com/spreadsheets/"&amp;"d/1NexK3geCPxCTO1fzNF8dPec7yZyUx3OaWkFBC9HsQOo/edit?usp=sharing"",""ยโสธร!M287"")+IMPORTRANGE(""https://docs.google.com/spreadsheets/d/1v_cJrbBlyqmnHPReHk44g9NrMRdENNlSy_E_c5M9fIg/edit?usp=sharing"",""ร้อยเอ็ด!M287"")+IMPORTRANGE(""https://docs.google.com"&amp;"/spreadsheets/d/1Ul4RCpCX66NxYADU1QpwAPjOmBzW64SsT11s1wzXw_c/edit?usp=sharing"",""เลย!M287"")+IMPORTRANGE(""https://docs.google.com/spreadsheets/d/1bRrNKwbHDVktQG10isr5vbWRtt5spIZPpkOSWgbT5ug/edit?usp=sharing"",""ศรีสะเกษ!M287"")+IMPORTRANGE(""https://doc"&amp;"s.google.com/spreadsheets/d/17P34_Ow5kFBfdQD0qspb2UuPX5zpi6WMrQzslghyvrI/edit?usp=sharing"",""สกลนคร!M287"")+IMPORTRANGE(""https://docs.google.com/spreadsheets/d/1yswqbM3-AEpThF3ZSUa1AcmHnmRTF1vlJ1CZGcJ8YuU/edit?usp=sharing"",""สุรินทร์!M287"")+IMPORTRANG"&amp;"E(""https://docs.google.com/spreadsheets/d/13JHU_EFbsQOUQ0JSQ3dWy1VTRosIWcDq6Nc99z2qzdc/edit?usp=sharing"",""หนองคาย!M287"")+IMPORTRANGE(""https://docs.google.com/spreadsheets/d/1Hx73zIEgVdDZZaYSTc46Dqv64atFhpr3GelxLbaIN8A/edit?usp=sharing"",""หนองบัวลำภู"&amp;"!M287"")+IMPORTRANGE(""https://docs.google.com/spreadsheets/d/1lFxr3ctmjFN90yc-xV6jrQ9Ty8BKYVBWnAZ15wcNIJc/edit?usp=sharing"",""อำนาจเจริญ!M287"")+IMPORTRANGE(""https://docs.google.com/spreadsheets/d/1gF7RJpRnL-1oyjyeWxs5SFWEH7y8ahOZsQlyp2A2e-A/edit?usp=s"&amp;"haring"",""อุดรธานี!M287"")+IMPORTRANGE(""https://docs.google.com/spreadsheets/d/1kfLP0j3INXRa8bTDpcEmoWewMBV61jlFlfzczfjWIgc/edit?usp=sharing"",""อุบลราชธานี!M287"")"),887380)</f>
        <v>887380</v>
      </c>
      <c r="N287" s="59">
        <f ca="1">IFERROR(__xludf.DUMMYFUNCTION("IMPORTRANGE(""https://docs.google.com/spreadsheets/d/1yhBcrRPreicbMKl9Bu_Snb2-OcQAF62RKfhTLhJ2eAA/edit?usp=sharing"",""กาฬสินธุ์!N287"")+IMPORTRANGE(""https://docs.google.com/spreadsheets/d/1aHkj4IaQMThhwWwevcOymEh837vdxeC_PycurhTbGFA/edit?usp=sharing"","&amp;"""ขอนแก่น!N287"")+IMPORTRANGE(""https://docs.google.com/spreadsheets/d/1FvTu2DsIWUjP6WCWra38Bkj_oOl_sOMf14r5Fg5srxU/edit?usp=sharing"",""ชัยภูมิ!N287"")+IMPORTRANGE(""https://docs.google.com/spreadsheets/d/1XVB7oCJ3pr-vBUdflwPQ8Z2LlzhnCvZaaYjAfP-647E/edit"&amp;"?usp=sharing"",""นครพนม!N287"")+IMPORTRANGE(""https://docs.google.com/spreadsheets/d/1Mnpb-8PYAgn85W6KOTD40hc_Xc55CaLfHoGAbrZ8tls/edit?usp=sharing"",""นครราชสีมา!N287"")+IMPORTRANGE(""https://docs.google.com/spreadsheets/d/1xoDLGBv9CYbyosIhki0kTq6IpYNj-gp"&amp;"jxfobnaDiut0/edit?usp=sharing"",""บึงกาฬ!N287"")+IMPORTRANGE(""https://docs.google.com/spreadsheets/d/1MMPq-JyI6DSgQETxuSiXkesP-P7JHuemnE6QJIa-Nlw/edit?usp=sharing"",""บุรีรัมย์!N287"")+IMPORTRANGE(""https://docs.google.com/spreadsheets/d/1l6IZ8xUPgMrESzc"&amp;"TYwhA1k_tPjeQjJPTqlm8Gd9eU5g/edit?usp=sharing"",""มหาสารคาม!N287"")+IMPORTRANGE(""https://docs.google.com/spreadsheets/d/1uB74YLqNjWX6FObjekfB2NtSYigTQyR2rq9u4Ub2Sq4/edit?usp=sharing"",""มุกดาหาร!N287"")+IMPORTRANGE(""https://docs.google.com/spreadsheets/"&amp;"d/1NexK3geCPxCTO1fzNF8dPec7yZyUx3OaWkFBC9HsQOo/edit?usp=sharing"",""ยโสธร!N287"")+IMPORTRANGE(""https://docs.google.com/spreadsheets/d/1v_cJrbBlyqmnHPReHk44g9NrMRdENNlSy_E_c5M9fIg/edit?usp=sharing"",""ร้อยเอ็ด!N287"")+IMPORTRANGE(""https://docs.google.com"&amp;"/spreadsheets/d/1Ul4RCpCX66NxYADU1QpwAPjOmBzW64SsT11s1wzXw_c/edit?usp=sharing"",""เลย!N287"")+IMPORTRANGE(""https://docs.google.com/spreadsheets/d/1bRrNKwbHDVktQG10isr5vbWRtt5spIZPpkOSWgbT5ug/edit?usp=sharing"",""ศรีสะเกษ!N287"")+IMPORTRANGE(""https://doc"&amp;"s.google.com/spreadsheets/d/17P34_Ow5kFBfdQD0qspb2UuPX5zpi6WMrQzslghyvrI/edit?usp=sharing"",""สกลนคร!N287"")+IMPORTRANGE(""https://docs.google.com/spreadsheets/d/1yswqbM3-AEpThF3ZSUa1AcmHnmRTF1vlJ1CZGcJ8YuU/edit?usp=sharing"",""สุรินทร์!N287"")+IMPORTRANG"&amp;"E(""https://docs.google.com/spreadsheets/d/13JHU_EFbsQOUQ0JSQ3dWy1VTRosIWcDq6Nc99z2qzdc/edit?usp=sharing"",""หนองคาย!N287"")+IMPORTRANGE(""https://docs.google.com/spreadsheets/d/1Hx73zIEgVdDZZaYSTc46Dqv64atFhpr3GelxLbaIN8A/edit?usp=sharing"",""หนองบัวลำภู"&amp;"!N287"")+IMPORTRANGE(""https://docs.google.com/spreadsheets/d/1lFxr3ctmjFN90yc-xV6jrQ9Ty8BKYVBWnAZ15wcNIJc/edit?usp=sharing"",""อำนาจเจริญ!N287"")+IMPORTRANGE(""https://docs.google.com/spreadsheets/d/1gF7RJpRnL-1oyjyeWxs5SFWEH7y8ahOZsQlyp2A2e-A/edit?usp=s"&amp;"haring"",""อุดรธานี!N287"")+IMPORTRANGE(""https://docs.google.com/spreadsheets/d/1kfLP0j3INXRa8bTDpcEmoWewMBV61jlFlfzczfjWIgc/edit?usp=sharing"",""อุบลราชธานี!N287"")"),247405.11)</f>
        <v>247405.11</v>
      </c>
      <c r="O287" s="59">
        <f t="shared" ca="1" si="119"/>
        <v>22.401360895311566</v>
      </c>
      <c r="P287" s="59">
        <f t="shared" ca="1" si="120"/>
        <v>27.880401857152517</v>
      </c>
    </row>
    <row r="288" spans="1:16" ht="18.75" x14ac:dyDescent="0.25">
      <c r="A288" s="157"/>
      <c r="B288" s="53"/>
      <c r="C288" s="53"/>
      <c r="D288" s="54" t="s">
        <v>21</v>
      </c>
      <c r="E288" s="53"/>
      <c r="F288" s="53"/>
      <c r="G288" s="55"/>
      <c r="H288" s="166" t="s">
        <v>12</v>
      </c>
      <c r="I288" s="164"/>
      <c r="J288" s="164"/>
      <c r="K288" s="165"/>
      <c r="L288" s="59">
        <f t="shared" ref="L288:N288" ca="1" si="124">L289+L290</f>
        <v>0</v>
      </c>
      <c r="M288" s="59">
        <f t="shared" ca="1" si="124"/>
        <v>0</v>
      </c>
      <c r="N288" s="59">
        <f t="shared" ca="1" si="124"/>
        <v>0</v>
      </c>
      <c r="O288" s="59">
        <f t="shared" ca="1" si="119"/>
        <v>0</v>
      </c>
      <c r="P288" s="59">
        <f t="shared" ca="1" si="120"/>
        <v>0</v>
      </c>
    </row>
    <row r="289" spans="1:16" ht="18.75" x14ac:dyDescent="0.25">
      <c r="A289" s="157"/>
      <c r="B289" s="53"/>
      <c r="C289" s="53"/>
      <c r="D289" s="53"/>
      <c r="E289" s="60" t="s">
        <v>18</v>
      </c>
      <c r="F289" s="53"/>
      <c r="G289" s="55"/>
      <c r="H289" s="163" t="s">
        <v>12</v>
      </c>
      <c r="I289" s="164"/>
      <c r="J289" s="164"/>
      <c r="K289" s="165"/>
      <c r="L289" s="59">
        <f ca="1">IFERROR(__xludf.DUMMYFUNCTION("IMPORTRANGE(""https://docs.google.com/spreadsheets/d/1yhBcrRPreicbMKl9Bu_Snb2-OcQAF62RKfhTLhJ2eAA/edit?usp=sharing"",""กาฬสินธุ์!L289"")+IMPORTRANGE(""https://docs.google.com/spreadsheets/d/1aHkj4IaQMThhwWwevcOymEh837vdxeC_PycurhTbGFA/edit?usp=sharing"","&amp;"""ขอนแก่น!L289"")+IMPORTRANGE(""https://docs.google.com/spreadsheets/d/1FvTu2DsIWUjP6WCWra38Bkj_oOl_sOMf14r5Fg5srxU/edit?usp=sharing"",""ชัยภูมิ!L289"")+IMPORTRANGE(""https://docs.google.com/spreadsheets/d/1XVB7oCJ3pr-vBUdflwPQ8Z2LlzhnCvZaaYjAfP-647E/edit"&amp;"?usp=sharing"",""นครพนม!L289"")+IMPORTRANGE(""https://docs.google.com/spreadsheets/d/1Mnpb-8PYAgn85W6KOTD40hc_Xc55CaLfHoGAbrZ8tls/edit?usp=sharing"",""นครราชสีมา!L289"")+IMPORTRANGE(""https://docs.google.com/spreadsheets/d/1xoDLGBv9CYbyosIhki0kTq6IpYNj-gp"&amp;"jxfobnaDiut0/edit?usp=sharing"",""บึงกาฬ!L289"")+IMPORTRANGE(""https://docs.google.com/spreadsheets/d/1MMPq-JyI6DSgQETxuSiXkesP-P7JHuemnE6QJIa-Nlw/edit?usp=sharing"",""บุรีรัมย์!L289"")+IMPORTRANGE(""https://docs.google.com/spreadsheets/d/1l6IZ8xUPgMrESzc"&amp;"TYwhA1k_tPjeQjJPTqlm8Gd9eU5g/edit?usp=sharing"",""มหาสารคาม!L289"")+IMPORTRANGE(""https://docs.google.com/spreadsheets/d/1uB74YLqNjWX6FObjekfB2NtSYigTQyR2rq9u4Ub2Sq4/edit?usp=sharing"",""มุกดาหาร!L289"")+IMPORTRANGE(""https://docs.google.com/spreadsheets/"&amp;"d/1NexK3geCPxCTO1fzNF8dPec7yZyUx3OaWkFBC9HsQOo/edit?usp=sharing"",""ยโสธร!L289"")+IMPORTRANGE(""https://docs.google.com/spreadsheets/d/1v_cJrbBlyqmnHPReHk44g9NrMRdENNlSy_E_c5M9fIg/edit?usp=sharing"",""ร้อยเอ็ด!L289"")+IMPORTRANGE(""https://docs.google.com"&amp;"/spreadsheets/d/1Ul4RCpCX66NxYADU1QpwAPjOmBzW64SsT11s1wzXw_c/edit?usp=sharing"",""เลย!L289"")+IMPORTRANGE(""https://docs.google.com/spreadsheets/d/1bRrNKwbHDVktQG10isr5vbWRtt5spIZPpkOSWgbT5ug/edit?usp=sharing"",""ศรีสะเกษ!L289"")+IMPORTRANGE(""https://doc"&amp;"s.google.com/spreadsheets/d/17P34_Ow5kFBfdQD0qspb2UuPX5zpi6WMrQzslghyvrI/edit?usp=sharing"",""สกลนคร!L289"")+IMPORTRANGE(""https://docs.google.com/spreadsheets/d/1yswqbM3-AEpThF3ZSUa1AcmHnmRTF1vlJ1CZGcJ8YuU/edit?usp=sharing"",""สุรินทร์!L289"")+IMPORTRANG"&amp;"E(""https://docs.google.com/spreadsheets/d/13JHU_EFbsQOUQ0JSQ3dWy1VTRosIWcDq6Nc99z2qzdc/edit?usp=sharing"",""หนองคาย!L289"")+IMPORTRANGE(""https://docs.google.com/spreadsheets/d/1Hx73zIEgVdDZZaYSTc46Dqv64atFhpr3GelxLbaIN8A/edit?usp=sharing"",""หนองบัวลำภู"&amp;"!L289"")+IMPORTRANGE(""https://docs.google.com/spreadsheets/d/1lFxr3ctmjFN90yc-xV6jrQ9Ty8BKYVBWnAZ15wcNIJc/edit?usp=sharing"",""อำนาจเจริญ!L289"")+IMPORTRANGE(""https://docs.google.com/spreadsheets/d/1gF7RJpRnL-1oyjyeWxs5SFWEH7y8ahOZsQlyp2A2e-A/edit?usp=s"&amp;"haring"",""อุดรธานี!L289"")+IMPORTRANGE(""https://docs.google.com/spreadsheets/d/1kfLP0j3INXRa8bTDpcEmoWewMBV61jlFlfzczfjWIgc/edit?usp=sharing"",""อุบลราชธานี!L289"")"),0)</f>
        <v>0</v>
      </c>
      <c r="M289" s="59">
        <f ca="1">IFERROR(__xludf.DUMMYFUNCTION("IMPORTRANGE(""https://docs.google.com/spreadsheets/d/1yhBcrRPreicbMKl9Bu_Snb2-OcQAF62RKfhTLhJ2eAA/edit?usp=sharing"",""กาฬสินธุ์!M289"")+IMPORTRANGE(""https://docs.google.com/spreadsheets/d/1aHkj4IaQMThhwWwevcOymEh837vdxeC_PycurhTbGFA/edit?usp=sharing"","&amp;"""ขอนแก่น!M289"")+IMPORTRANGE(""https://docs.google.com/spreadsheets/d/1FvTu2DsIWUjP6WCWra38Bkj_oOl_sOMf14r5Fg5srxU/edit?usp=sharing"",""ชัยภูมิ!M289"")+IMPORTRANGE(""https://docs.google.com/spreadsheets/d/1XVB7oCJ3pr-vBUdflwPQ8Z2LlzhnCvZaaYjAfP-647E/edit"&amp;"?usp=sharing"",""นครพนม!M289"")+IMPORTRANGE(""https://docs.google.com/spreadsheets/d/1Mnpb-8PYAgn85W6KOTD40hc_Xc55CaLfHoGAbrZ8tls/edit?usp=sharing"",""นครราชสีมา!M289"")+IMPORTRANGE(""https://docs.google.com/spreadsheets/d/1xoDLGBv9CYbyosIhki0kTq6IpYNj-gp"&amp;"jxfobnaDiut0/edit?usp=sharing"",""บึงกาฬ!M289"")+IMPORTRANGE(""https://docs.google.com/spreadsheets/d/1MMPq-JyI6DSgQETxuSiXkesP-P7JHuemnE6QJIa-Nlw/edit?usp=sharing"",""บุรีรัมย์!M289"")+IMPORTRANGE(""https://docs.google.com/spreadsheets/d/1l6IZ8xUPgMrESzc"&amp;"TYwhA1k_tPjeQjJPTqlm8Gd9eU5g/edit?usp=sharing"",""มหาสารคาม!M289"")+IMPORTRANGE(""https://docs.google.com/spreadsheets/d/1uB74YLqNjWX6FObjekfB2NtSYigTQyR2rq9u4Ub2Sq4/edit?usp=sharing"",""มุกดาหาร!M289"")+IMPORTRANGE(""https://docs.google.com/spreadsheets/"&amp;"d/1NexK3geCPxCTO1fzNF8dPec7yZyUx3OaWkFBC9HsQOo/edit?usp=sharing"",""ยโสธร!M289"")+IMPORTRANGE(""https://docs.google.com/spreadsheets/d/1v_cJrbBlyqmnHPReHk44g9NrMRdENNlSy_E_c5M9fIg/edit?usp=sharing"",""ร้อยเอ็ด!M289"")+IMPORTRANGE(""https://docs.google.com"&amp;"/spreadsheets/d/1Ul4RCpCX66NxYADU1QpwAPjOmBzW64SsT11s1wzXw_c/edit?usp=sharing"",""เลย!M289"")+IMPORTRANGE(""https://docs.google.com/spreadsheets/d/1bRrNKwbHDVktQG10isr5vbWRtt5spIZPpkOSWgbT5ug/edit?usp=sharing"",""ศรีสะเกษ!M289"")+IMPORTRANGE(""https://doc"&amp;"s.google.com/spreadsheets/d/17P34_Ow5kFBfdQD0qspb2UuPX5zpi6WMrQzslghyvrI/edit?usp=sharing"",""สกลนคร!M289"")+IMPORTRANGE(""https://docs.google.com/spreadsheets/d/1yswqbM3-AEpThF3ZSUa1AcmHnmRTF1vlJ1CZGcJ8YuU/edit?usp=sharing"",""สุรินทร์!M289"")+IMPORTRANG"&amp;"E(""https://docs.google.com/spreadsheets/d/13JHU_EFbsQOUQ0JSQ3dWy1VTRosIWcDq6Nc99z2qzdc/edit?usp=sharing"",""หนองคาย!M289"")+IMPORTRANGE(""https://docs.google.com/spreadsheets/d/1Hx73zIEgVdDZZaYSTc46Dqv64atFhpr3GelxLbaIN8A/edit?usp=sharing"",""หนองบัวลำภู"&amp;"!M289"")+IMPORTRANGE(""https://docs.google.com/spreadsheets/d/1lFxr3ctmjFN90yc-xV6jrQ9Ty8BKYVBWnAZ15wcNIJc/edit?usp=sharing"",""อำนาจเจริญ!M289"")+IMPORTRANGE(""https://docs.google.com/spreadsheets/d/1gF7RJpRnL-1oyjyeWxs5SFWEH7y8ahOZsQlyp2A2e-A/edit?usp=s"&amp;"haring"",""อุดรธานี!M289"")+IMPORTRANGE(""https://docs.google.com/spreadsheets/d/1kfLP0j3INXRa8bTDpcEmoWewMBV61jlFlfzczfjWIgc/edit?usp=sharing"",""อุบลราชธานี!M289"")"),0)</f>
        <v>0</v>
      </c>
      <c r="N289" s="59">
        <f ca="1">IFERROR(__xludf.DUMMYFUNCTION("IMPORTRANGE(""https://docs.google.com/spreadsheets/d/1yhBcrRPreicbMKl9Bu_Snb2-OcQAF62RKfhTLhJ2eAA/edit?usp=sharing"",""กาฬสินธุ์!N289"")+IMPORTRANGE(""https://docs.google.com/spreadsheets/d/1aHkj4IaQMThhwWwevcOymEh837vdxeC_PycurhTbGFA/edit?usp=sharing"","&amp;"""ขอนแก่น!N289"")+IMPORTRANGE(""https://docs.google.com/spreadsheets/d/1FvTu2DsIWUjP6WCWra38Bkj_oOl_sOMf14r5Fg5srxU/edit?usp=sharing"",""ชัยภูมิ!N289"")+IMPORTRANGE(""https://docs.google.com/spreadsheets/d/1XVB7oCJ3pr-vBUdflwPQ8Z2LlzhnCvZaaYjAfP-647E/edit"&amp;"?usp=sharing"",""นครพนม!N289"")+IMPORTRANGE(""https://docs.google.com/spreadsheets/d/1Mnpb-8PYAgn85W6KOTD40hc_Xc55CaLfHoGAbrZ8tls/edit?usp=sharing"",""นครราชสีมา!N289"")+IMPORTRANGE(""https://docs.google.com/spreadsheets/d/1xoDLGBv9CYbyosIhki0kTq6IpYNj-gp"&amp;"jxfobnaDiut0/edit?usp=sharing"",""บึงกาฬ!N289"")+IMPORTRANGE(""https://docs.google.com/spreadsheets/d/1MMPq-JyI6DSgQETxuSiXkesP-P7JHuemnE6QJIa-Nlw/edit?usp=sharing"",""บุรีรัมย์!N289"")+IMPORTRANGE(""https://docs.google.com/spreadsheets/d/1l6IZ8xUPgMrESzc"&amp;"TYwhA1k_tPjeQjJPTqlm8Gd9eU5g/edit?usp=sharing"",""มหาสารคาม!N289"")+IMPORTRANGE(""https://docs.google.com/spreadsheets/d/1uB74YLqNjWX6FObjekfB2NtSYigTQyR2rq9u4Ub2Sq4/edit?usp=sharing"",""มุกดาหาร!N289"")+IMPORTRANGE(""https://docs.google.com/spreadsheets/"&amp;"d/1NexK3geCPxCTO1fzNF8dPec7yZyUx3OaWkFBC9HsQOo/edit?usp=sharing"",""ยโสธร!N289"")+IMPORTRANGE(""https://docs.google.com/spreadsheets/d/1v_cJrbBlyqmnHPReHk44g9NrMRdENNlSy_E_c5M9fIg/edit?usp=sharing"",""ร้อยเอ็ด!N289"")+IMPORTRANGE(""https://docs.google.com"&amp;"/spreadsheets/d/1Ul4RCpCX66NxYADU1QpwAPjOmBzW64SsT11s1wzXw_c/edit?usp=sharing"",""เลย!N289"")+IMPORTRANGE(""https://docs.google.com/spreadsheets/d/1bRrNKwbHDVktQG10isr5vbWRtt5spIZPpkOSWgbT5ug/edit?usp=sharing"",""ศรีสะเกษ!N289"")+IMPORTRANGE(""https://doc"&amp;"s.google.com/spreadsheets/d/17P34_Ow5kFBfdQD0qspb2UuPX5zpi6WMrQzslghyvrI/edit?usp=sharing"",""สกลนคร!N289"")+IMPORTRANGE(""https://docs.google.com/spreadsheets/d/1yswqbM3-AEpThF3ZSUa1AcmHnmRTF1vlJ1CZGcJ8YuU/edit?usp=sharing"",""สุรินทร์!N289"")+IMPORTRANG"&amp;"E(""https://docs.google.com/spreadsheets/d/13JHU_EFbsQOUQ0JSQ3dWy1VTRosIWcDq6Nc99z2qzdc/edit?usp=sharing"",""หนองคาย!N289"")+IMPORTRANGE(""https://docs.google.com/spreadsheets/d/1Hx73zIEgVdDZZaYSTc46Dqv64atFhpr3GelxLbaIN8A/edit?usp=sharing"",""หนองบัวลำภู"&amp;"!N289"")+IMPORTRANGE(""https://docs.google.com/spreadsheets/d/1lFxr3ctmjFN90yc-xV6jrQ9Ty8BKYVBWnAZ15wcNIJc/edit?usp=sharing"",""อำนาจเจริญ!N289"")+IMPORTRANGE(""https://docs.google.com/spreadsheets/d/1gF7RJpRnL-1oyjyeWxs5SFWEH7y8ahOZsQlyp2A2e-A/edit?usp=s"&amp;"haring"",""อุดรธานี!N289"")+IMPORTRANGE(""https://docs.google.com/spreadsheets/d/1kfLP0j3INXRa8bTDpcEmoWewMBV61jlFlfzczfjWIgc/edit?usp=sharing"",""อุบลราชธานี!N289"")"),0)</f>
        <v>0</v>
      </c>
      <c r="O289" s="59">
        <f t="shared" ca="1" si="119"/>
        <v>0</v>
      </c>
      <c r="P289" s="59">
        <f t="shared" ca="1" si="120"/>
        <v>0</v>
      </c>
    </row>
    <row r="290" spans="1:16" ht="18.75" x14ac:dyDescent="0.25">
      <c r="A290" s="157"/>
      <c r="B290" s="53"/>
      <c r="C290" s="53"/>
      <c r="D290" s="53"/>
      <c r="E290" s="60" t="s">
        <v>19</v>
      </c>
      <c r="F290" s="53"/>
      <c r="G290" s="55"/>
      <c r="H290" s="166" t="s">
        <v>12</v>
      </c>
      <c r="I290" s="164"/>
      <c r="J290" s="164"/>
      <c r="K290" s="165"/>
      <c r="L290" s="59">
        <f ca="1">IFERROR(__xludf.DUMMYFUNCTION("IMPORTRANGE(""https://docs.google.com/spreadsheets/d/1yhBcrRPreicbMKl9Bu_Snb2-OcQAF62RKfhTLhJ2eAA/edit?usp=sharing"",""กาฬสินธุ์!L290"")+IMPORTRANGE(""https://docs.google.com/spreadsheets/d/1aHkj4IaQMThhwWwevcOymEh837vdxeC_PycurhTbGFA/edit?usp=sharing"","&amp;"""ขอนแก่น!L290"")+IMPORTRANGE(""https://docs.google.com/spreadsheets/d/1FvTu2DsIWUjP6WCWra38Bkj_oOl_sOMf14r5Fg5srxU/edit?usp=sharing"",""ชัยภูมิ!L290"")+IMPORTRANGE(""https://docs.google.com/spreadsheets/d/1XVB7oCJ3pr-vBUdflwPQ8Z2LlzhnCvZaaYjAfP-647E/edit"&amp;"?usp=sharing"",""นครพนม!L290"")+IMPORTRANGE(""https://docs.google.com/spreadsheets/d/1Mnpb-8PYAgn85W6KOTD40hc_Xc55CaLfHoGAbrZ8tls/edit?usp=sharing"",""นครราชสีมา!L290"")+IMPORTRANGE(""https://docs.google.com/spreadsheets/d/1xoDLGBv9CYbyosIhki0kTq6IpYNj-gp"&amp;"jxfobnaDiut0/edit?usp=sharing"",""บึงกาฬ!L290"")+IMPORTRANGE(""https://docs.google.com/spreadsheets/d/1MMPq-JyI6DSgQETxuSiXkesP-P7JHuemnE6QJIa-Nlw/edit?usp=sharing"",""บุรีรัมย์!L290"")+IMPORTRANGE(""https://docs.google.com/spreadsheets/d/1l6IZ8xUPgMrESzc"&amp;"TYwhA1k_tPjeQjJPTqlm8Gd9eU5g/edit?usp=sharing"",""มหาสารคาม!L290"")+IMPORTRANGE(""https://docs.google.com/spreadsheets/d/1uB74YLqNjWX6FObjekfB2NtSYigTQyR2rq9u4Ub2Sq4/edit?usp=sharing"",""มุกดาหาร!L290"")+IMPORTRANGE(""https://docs.google.com/spreadsheets/"&amp;"d/1NexK3geCPxCTO1fzNF8dPec7yZyUx3OaWkFBC9HsQOo/edit?usp=sharing"",""ยโสธร!L290"")+IMPORTRANGE(""https://docs.google.com/spreadsheets/d/1v_cJrbBlyqmnHPReHk44g9NrMRdENNlSy_E_c5M9fIg/edit?usp=sharing"",""ร้อยเอ็ด!L290"")+IMPORTRANGE(""https://docs.google.com"&amp;"/spreadsheets/d/1Ul4RCpCX66NxYADU1QpwAPjOmBzW64SsT11s1wzXw_c/edit?usp=sharing"",""เลย!L290"")+IMPORTRANGE(""https://docs.google.com/spreadsheets/d/1bRrNKwbHDVktQG10isr5vbWRtt5spIZPpkOSWgbT5ug/edit?usp=sharing"",""ศรีสะเกษ!L290"")+IMPORTRANGE(""https://doc"&amp;"s.google.com/spreadsheets/d/17P34_Ow5kFBfdQD0qspb2UuPX5zpi6WMrQzslghyvrI/edit?usp=sharing"",""สกลนคร!L290"")+IMPORTRANGE(""https://docs.google.com/spreadsheets/d/1yswqbM3-AEpThF3ZSUa1AcmHnmRTF1vlJ1CZGcJ8YuU/edit?usp=sharing"",""สุรินทร์!L290"")+IMPORTRANG"&amp;"E(""https://docs.google.com/spreadsheets/d/13JHU_EFbsQOUQ0JSQ3dWy1VTRosIWcDq6Nc99z2qzdc/edit?usp=sharing"",""หนองคาย!L290"")+IMPORTRANGE(""https://docs.google.com/spreadsheets/d/1Hx73zIEgVdDZZaYSTc46Dqv64atFhpr3GelxLbaIN8A/edit?usp=sharing"",""หนองบัวลำภู"&amp;"!L290"")+IMPORTRANGE(""https://docs.google.com/spreadsheets/d/1lFxr3ctmjFN90yc-xV6jrQ9Ty8BKYVBWnAZ15wcNIJc/edit?usp=sharing"",""อำนาจเจริญ!L290"")+IMPORTRANGE(""https://docs.google.com/spreadsheets/d/1gF7RJpRnL-1oyjyeWxs5SFWEH7y8ahOZsQlyp2A2e-A/edit?usp=s"&amp;"haring"",""อุดรธานี!L290"")+IMPORTRANGE(""https://docs.google.com/spreadsheets/d/1kfLP0j3INXRa8bTDpcEmoWewMBV61jlFlfzczfjWIgc/edit?usp=sharing"",""อุบลราชธานี!L290"")"),0)</f>
        <v>0</v>
      </c>
      <c r="M290" s="59">
        <f ca="1">IFERROR(__xludf.DUMMYFUNCTION("IMPORTRANGE(""https://docs.google.com/spreadsheets/d/1yhBcrRPreicbMKl9Bu_Snb2-OcQAF62RKfhTLhJ2eAA/edit?usp=sharing"",""กาฬสินธุ์!M290"")+IMPORTRANGE(""https://docs.google.com/spreadsheets/d/1aHkj4IaQMThhwWwevcOymEh837vdxeC_PycurhTbGFA/edit?usp=sharing"","&amp;"""ขอนแก่น!M290"")+IMPORTRANGE(""https://docs.google.com/spreadsheets/d/1FvTu2DsIWUjP6WCWra38Bkj_oOl_sOMf14r5Fg5srxU/edit?usp=sharing"",""ชัยภูมิ!M290"")+IMPORTRANGE(""https://docs.google.com/spreadsheets/d/1XVB7oCJ3pr-vBUdflwPQ8Z2LlzhnCvZaaYjAfP-647E/edit"&amp;"?usp=sharing"",""นครพนม!M290"")+IMPORTRANGE(""https://docs.google.com/spreadsheets/d/1Mnpb-8PYAgn85W6KOTD40hc_Xc55CaLfHoGAbrZ8tls/edit?usp=sharing"",""นครราชสีมา!M290"")+IMPORTRANGE(""https://docs.google.com/spreadsheets/d/1xoDLGBv9CYbyosIhki0kTq6IpYNj-gp"&amp;"jxfobnaDiut0/edit?usp=sharing"",""บึงกาฬ!M290"")+IMPORTRANGE(""https://docs.google.com/spreadsheets/d/1MMPq-JyI6DSgQETxuSiXkesP-P7JHuemnE6QJIa-Nlw/edit?usp=sharing"",""บุรีรัมย์!M290"")+IMPORTRANGE(""https://docs.google.com/spreadsheets/d/1l6IZ8xUPgMrESzc"&amp;"TYwhA1k_tPjeQjJPTqlm8Gd9eU5g/edit?usp=sharing"",""มหาสารคาม!M290"")+IMPORTRANGE(""https://docs.google.com/spreadsheets/d/1uB74YLqNjWX6FObjekfB2NtSYigTQyR2rq9u4Ub2Sq4/edit?usp=sharing"",""มุกดาหาร!M290"")+IMPORTRANGE(""https://docs.google.com/spreadsheets/"&amp;"d/1NexK3geCPxCTO1fzNF8dPec7yZyUx3OaWkFBC9HsQOo/edit?usp=sharing"",""ยโสธร!M290"")+IMPORTRANGE(""https://docs.google.com/spreadsheets/d/1v_cJrbBlyqmnHPReHk44g9NrMRdENNlSy_E_c5M9fIg/edit?usp=sharing"",""ร้อยเอ็ด!M290"")+IMPORTRANGE(""https://docs.google.com"&amp;"/spreadsheets/d/1Ul4RCpCX66NxYADU1QpwAPjOmBzW64SsT11s1wzXw_c/edit?usp=sharing"",""เลย!M290"")+IMPORTRANGE(""https://docs.google.com/spreadsheets/d/1bRrNKwbHDVktQG10isr5vbWRtt5spIZPpkOSWgbT5ug/edit?usp=sharing"",""ศรีสะเกษ!M290"")+IMPORTRANGE(""https://doc"&amp;"s.google.com/spreadsheets/d/17P34_Ow5kFBfdQD0qspb2UuPX5zpi6WMrQzslghyvrI/edit?usp=sharing"",""สกลนคร!M290"")+IMPORTRANGE(""https://docs.google.com/spreadsheets/d/1yswqbM3-AEpThF3ZSUa1AcmHnmRTF1vlJ1CZGcJ8YuU/edit?usp=sharing"",""สุรินทร์!M290"")+IMPORTRANG"&amp;"E(""https://docs.google.com/spreadsheets/d/13JHU_EFbsQOUQ0JSQ3dWy1VTRosIWcDq6Nc99z2qzdc/edit?usp=sharing"",""หนองคาย!M290"")+IMPORTRANGE(""https://docs.google.com/spreadsheets/d/1Hx73zIEgVdDZZaYSTc46Dqv64atFhpr3GelxLbaIN8A/edit?usp=sharing"",""หนองบัวลำภู"&amp;"!M290"")+IMPORTRANGE(""https://docs.google.com/spreadsheets/d/1lFxr3ctmjFN90yc-xV6jrQ9Ty8BKYVBWnAZ15wcNIJc/edit?usp=sharing"",""อำนาจเจริญ!M290"")+IMPORTRANGE(""https://docs.google.com/spreadsheets/d/1gF7RJpRnL-1oyjyeWxs5SFWEH7y8ahOZsQlyp2A2e-A/edit?usp=s"&amp;"haring"",""อุดรธานี!M290"")+IMPORTRANGE(""https://docs.google.com/spreadsheets/d/1kfLP0j3INXRa8bTDpcEmoWewMBV61jlFlfzczfjWIgc/edit?usp=sharing"",""อุบลราชธานี!M290"")"),0)</f>
        <v>0</v>
      </c>
      <c r="N290" s="59">
        <f ca="1">IFERROR(__xludf.DUMMYFUNCTION("IMPORTRANGE(""https://docs.google.com/spreadsheets/d/1yhBcrRPreicbMKl9Bu_Snb2-OcQAF62RKfhTLhJ2eAA/edit?usp=sharing"",""กาฬสินธุ์!N290"")+IMPORTRANGE(""https://docs.google.com/spreadsheets/d/1aHkj4IaQMThhwWwevcOymEh837vdxeC_PycurhTbGFA/edit?usp=sharing"","&amp;"""ขอนแก่น!N290"")+IMPORTRANGE(""https://docs.google.com/spreadsheets/d/1FvTu2DsIWUjP6WCWra38Bkj_oOl_sOMf14r5Fg5srxU/edit?usp=sharing"",""ชัยภูมิ!N290"")+IMPORTRANGE(""https://docs.google.com/spreadsheets/d/1XVB7oCJ3pr-vBUdflwPQ8Z2LlzhnCvZaaYjAfP-647E/edit"&amp;"?usp=sharing"",""นครพนม!N290"")+IMPORTRANGE(""https://docs.google.com/spreadsheets/d/1Mnpb-8PYAgn85W6KOTD40hc_Xc55CaLfHoGAbrZ8tls/edit?usp=sharing"",""นครราชสีมา!N290"")+IMPORTRANGE(""https://docs.google.com/spreadsheets/d/1xoDLGBv9CYbyosIhki0kTq6IpYNj-gp"&amp;"jxfobnaDiut0/edit?usp=sharing"",""บึงกาฬ!N290"")+IMPORTRANGE(""https://docs.google.com/spreadsheets/d/1MMPq-JyI6DSgQETxuSiXkesP-P7JHuemnE6QJIa-Nlw/edit?usp=sharing"",""บุรีรัมย์!N290"")+IMPORTRANGE(""https://docs.google.com/spreadsheets/d/1l6IZ8xUPgMrESzc"&amp;"TYwhA1k_tPjeQjJPTqlm8Gd9eU5g/edit?usp=sharing"",""มหาสารคาม!N290"")+IMPORTRANGE(""https://docs.google.com/spreadsheets/d/1uB74YLqNjWX6FObjekfB2NtSYigTQyR2rq9u4Ub2Sq4/edit?usp=sharing"",""มุกดาหาร!N290"")+IMPORTRANGE(""https://docs.google.com/spreadsheets/"&amp;"d/1NexK3geCPxCTO1fzNF8dPec7yZyUx3OaWkFBC9HsQOo/edit?usp=sharing"",""ยโสธร!N290"")+IMPORTRANGE(""https://docs.google.com/spreadsheets/d/1v_cJrbBlyqmnHPReHk44g9NrMRdENNlSy_E_c5M9fIg/edit?usp=sharing"",""ร้อยเอ็ด!N290"")+IMPORTRANGE(""https://docs.google.com"&amp;"/spreadsheets/d/1Ul4RCpCX66NxYADU1QpwAPjOmBzW64SsT11s1wzXw_c/edit?usp=sharing"",""เลย!N290"")+IMPORTRANGE(""https://docs.google.com/spreadsheets/d/1bRrNKwbHDVktQG10isr5vbWRtt5spIZPpkOSWgbT5ug/edit?usp=sharing"",""ศรีสะเกษ!N290"")+IMPORTRANGE(""https://doc"&amp;"s.google.com/spreadsheets/d/17P34_Ow5kFBfdQD0qspb2UuPX5zpi6WMrQzslghyvrI/edit?usp=sharing"",""สกลนคร!N290"")+IMPORTRANGE(""https://docs.google.com/spreadsheets/d/1yswqbM3-AEpThF3ZSUa1AcmHnmRTF1vlJ1CZGcJ8YuU/edit?usp=sharing"",""สุรินทร์!N290"")+IMPORTRANG"&amp;"E(""https://docs.google.com/spreadsheets/d/13JHU_EFbsQOUQ0JSQ3dWy1VTRosIWcDq6Nc99z2qzdc/edit?usp=sharing"",""หนองคาย!N290"")+IMPORTRANGE(""https://docs.google.com/spreadsheets/d/1Hx73zIEgVdDZZaYSTc46Dqv64atFhpr3GelxLbaIN8A/edit?usp=sharing"",""หนองบัวลำภู"&amp;"!N290"")+IMPORTRANGE(""https://docs.google.com/spreadsheets/d/1lFxr3ctmjFN90yc-xV6jrQ9Ty8BKYVBWnAZ15wcNIJc/edit?usp=sharing"",""อำนาจเจริญ!N290"")+IMPORTRANGE(""https://docs.google.com/spreadsheets/d/1gF7RJpRnL-1oyjyeWxs5SFWEH7y8ahOZsQlyp2A2e-A/edit?usp=s"&amp;"haring"",""อุดรธานี!N290"")+IMPORTRANGE(""https://docs.google.com/spreadsheets/d/1kfLP0j3INXRa8bTDpcEmoWewMBV61jlFlfzczfjWIgc/edit?usp=sharing"",""อุบลราชธานี!N290"")"),0)</f>
        <v>0</v>
      </c>
      <c r="O290" s="59">
        <f t="shared" ca="1" si="119"/>
        <v>0</v>
      </c>
      <c r="P290" s="59">
        <f t="shared" ca="1" si="120"/>
        <v>0</v>
      </c>
    </row>
    <row r="291" spans="1:16" ht="19.5" x14ac:dyDescent="0.3">
      <c r="A291" s="167"/>
      <c r="B291" s="168"/>
      <c r="C291" s="158" t="s">
        <v>16</v>
      </c>
      <c r="D291" s="169" t="s">
        <v>36</v>
      </c>
      <c r="E291" s="170"/>
      <c r="F291" s="170"/>
      <c r="G291" s="171"/>
      <c r="H291" s="172"/>
      <c r="I291" s="164"/>
      <c r="J291" s="164"/>
      <c r="K291" s="165"/>
      <c r="L291" s="165"/>
      <c r="M291" s="165"/>
      <c r="N291" s="165"/>
      <c r="O291" s="165"/>
      <c r="P291" s="165"/>
    </row>
    <row r="292" spans="1:16" ht="18.75" x14ac:dyDescent="0.25">
      <c r="A292" s="167"/>
      <c r="B292" s="168"/>
      <c r="C292" s="168"/>
      <c r="D292" s="193" t="s">
        <v>113</v>
      </c>
      <c r="E292" s="168"/>
      <c r="F292" s="174"/>
      <c r="G292" s="172"/>
      <c r="H292" s="183" t="s">
        <v>44</v>
      </c>
      <c r="I292" s="194">
        <f ca="1">IFERROR(__xludf.DUMMYFUNCTION("IMPORTRANGE(""https://docs.google.com/spreadsheets/d/1yhBcrRPreicbMKl9Bu_Snb2-OcQAF62RKfhTLhJ2eAA/edit?usp=sharing"",""กาฬสินธุ์!I292"")+IMPORTRANGE(""https://docs.google.com/spreadsheets/d/1aHkj4IaQMThhwWwevcOymEh837vdxeC_PycurhTbGFA/edit?usp=sharing"","&amp;"""ขอนแก่น!I292"")+IMPORTRANGE(""https://docs.google.com/spreadsheets/d/1FvTu2DsIWUjP6WCWra38Bkj_oOl_sOMf14r5Fg5srxU/edit?usp=sharing"",""ชัยภูมิ!I292"")+IMPORTRANGE(""https://docs.google.com/spreadsheets/d/1XVB7oCJ3pr-vBUdflwPQ8Z2LlzhnCvZaaYjAfP-647E/edit"&amp;"?usp=sharing"",""นครพนม!I292"")+IMPORTRANGE(""https://docs.google.com/spreadsheets/d/1Mnpb-8PYAgn85W6KOTD40hc_Xc55CaLfHoGAbrZ8tls/edit?usp=sharing"",""นครราชสีมา!I292"")+IMPORTRANGE(""https://docs.google.com/spreadsheets/d/1xoDLGBv9CYbyosIhki0kTq6IpYNj-gp"&amp;"jxfobnaDiut0/edit?usp=sharing"",""บึงกาฬ!I292"")+IMPORTRANGE(""https://docs.google.com/spreadsheets/d/1MMPq-JyI6DSgQETxuSiXkesP-P7JHuemnE6QJIa-Nlw/edit?usp=sharing"",""บุรีรัมย์!I292"")+IMPORTRANGE(""https://docs.google.com/spreadsheets/d/1l6IZ8xUPgMrESzc"&amp;"TYwhA1k_tPjeQjJPTqlm8Gd9eU5g/edit?usp=sharing"",""มหาสารคาม!I292"")+IMPORTRANGE(""https://docs.google.com/spreadsheets/d/1uB74YLqNjWX6FObjekfB2NtSYigTQyR2rq9u4Ub2Sq4/edit?usp=sharing"",""มุกดาหาร!I292"")+IMPORTRANGE(""https://docs.google.com/spreadsheets/"&amp;"d/1NexK3geCPxCTO1fzNF8dPec7yZyUx3OaWkFBC9HsQOo/edit?usp=sharing"",""ยโสธร!I292"")+IMPORTRANGE(""https://docs.google.com/spreadsheets/d/1v_cJrbBlyqmnHPReHk44g9NrMRdENNlSy_E_c5M9fIg/edit?usp=sharing"",""ร้อยเอ็ด!I292"")+IMPORTRANGE(""https://docs.google.com"&amp;"/spreadsheets/d/1Ul4RCpCX66NxYADU1QpwAPjOmBzW64SsT11s1wzXw_c/edit?usp=sharing"",""เลย!I292"")+IMPORTRANGE(""https://docs.google.com/spreadsheets/d/1bRrNKwbHDVktQG10isr5vbWRtt5spIZPpkOSWgbT5ug/edit?usp=sharing"",""ศรีสะเกษ!I292"")+IMPORTRANGE(""https://doc"&amp;"s.google.com/spreadsheets/d/17P34_Ow5kFBfdQD0qspb2UuPX5zpi6WMrQzslghyvrI/edit?usp=sharing"",""สกลนคร!I292"")+IMPORTRANGE(""https://docs.google.com/spreadsheets/d/1yswqbM3-AEpThF3ZSUa1AcmHnmRTF1vlJ1CZGcJ8YuU/edit?usp=sharing"",""สุรินทร์!I292"")+IMPORTRANG"&amp;"E(""https://docs.google.com/spreadsheets/d/13JHU_EFbsQOUQ0JSQ3dWy1VTRosIWcDq6Nc99z2qzdc/edit?usp=sharing"",""หนองคาย!I292"")+IMPORTRANGE(""https://docs.google.com/spreadsheets/d/1Hx73zIEgVdDZZaYSTc46Dqv64atFhpr3GelxLbaIN8A/edit?usp=sharing"",""หนองบัวลำภู"&amp;"!I292"")+IMPORTRANGE(""https://docs.google.com/spreadsheets/d/1lFxr3ctmjFN90yc-xV6jrQ9Ty8BKYVBWnAZ15wcNIJc/edit?usp=sharing"",""อำนาจเจริญ!I292"")+IMPORTRANGE(""https://docs.google.com/spreadsheets/d/1gF7RJpRnL-1oyjyeWxs5SFWEH7y8ahOZsQlyp2A2e-A/edit?usp=s"&amp;"haring"",""อุดรธานี!I292"")+IMPORTRANGE(""https://docs.google.com/spreadsheets/d/1kfLP0j3INXRa8bTDpcEmoWewMBV61jlFlfzczfjWIgc/edit?usp=sharing"",""อุบลราชธานี!I292"")"),2300)</f>
        <v>2300</v>
      </c>
      <c r="J292" s="181">
        <f ca="1">IFERROR(__xludf.DUMMYFUNCTION("IMPORTRANGE(""https://docs.google.com/spreadsheets/d/1yhBcrRPreicbMKl9Bu_Snb2-OcQAF62RKfhTLhJ2eAA/edit?usp=sharing"",""กาฬสินธุ์!J292"")+IMPORTRANGE(""https://docs.google.com/spreadsheets/d/1aHkj4IaQMThhwWwevcOymEh837vdxeC_PycurhTbGFA/edit?usp=sharing"","&amp;"""ขอนแก่น!J292"")+IMPORTRANGE(""https://docs.google.com/spreadsheets/d/1FvTu2DsIWUjP6WCWra38Bkj_oOl_sOMf14r5Fg5srxU/edit?usp=sharing"",""ชัยภูมิ!J292"")+IMPORTRANGE(""https://docs.google.com/spreadsheets/d/1XVB7oCJ3pr-vBUdflwPQ8Z2LlzhnCvZaaYjAfP-647E/edit"&amp;"?usp=sharing"",""นครพนม!J292"")+IMPORTRANGE(""https://docs.google.com/spreadsheets/d/1Mnpb-8PYAgn85W6KOTD40hc_Xc55CaLfHoGAbrZ8tls/edit?usp=sharing"",""นครราชสีมา!J292"")+IMPORTRANGE(""https://docs.google.com/spreadsheets/d/1xoDLGBv9CYbyosIhki0kTq6IpYNj-gp"&amp;"jxfobnaDiut0/edit?usp=sharing"",""บึงกาฬ!J292"")+IMPORTRANGE(""https://docs.google.com/spreadsheets/d/1MMPq-JyI6DSgQETxuSiXkesP-P7JHuemnE6QJIa-Nlw/edit?usp=sharing"",""บุรีรัมย์!J292"")+IMPORTRANGE(""https://docs.google.com/spreadsheets/d/1l6IZ8xUPgMrESzc"&amp;"TYwhA1k_tPjeQjJPTqlm8Gd9eU5g/edit?usp=sharing"",""มหาสารคาม!J292"")+IMPORTRANGE(""https://docs.google.com/spreadsheets/d/1uB74YLqNjWX6FObjekfB2NtSYigTQyR2rq9u4Ub2Sq4/edit?usp=sharing"",""มุกดาหาร!J292"")+IMPORTRANGE(""https://docs.google.com/spreadsheets/"&amp;"d/1NexK3geCPxCTO1fzNF8dPec7yZyUx3OaWkFBC9HsQOo/edit?usp=sharing"",""ยโสธร!J292"")+IMPORTRANGE(""https://docs.google.com/spreadsheets/d/1v_cJrbBlyqmnHPReHk44g9NrMRdENNlSy_E_c5M9fIg/edit?usp=sharing"",""ร้อยเอ็ด!J292"")+IMPORTRANGE(""https://docs.google.com"&amp;"/spreadsheets/d/1Ul4RCpCX66NxYADU1QpwAPjOmBzW64SsT11s1wzXw_c/edit?usp=sharing"",""เลย!J292"")+IMPORTRANGE(""https://docs.google.com/spreadsheets/d/1bRrNKwbHDVktQG10isr5vbWRtt5spIZPpkOSWgbT5ug/edit?usp=sharing"",""ศรีสะเกษ!J292"")+IMPORTRANGE(""https://doc"&amp;"s.google.com/spreadsheets/d/17P34_Ow5kFBfdQD0qspb2UuPX5zpi6WMrQzslghyvrI/edit?usp=sharing"",""สกลนคร!J292"")+IMPORTRANGE(""https://docs.google.com/spreadsheets/d/1yswqbM3-AEpThF3ZSUa1AcmHnmRTF1vlJ1CZGcJ8YuU/edit?usp=sharing"",""สุรินทร์!J292"")+IMPORTRANG"&amp;"E(""https://docs.google.com/spreadsheets/d/13JHU_EFbsQOUQ0JSQ3dWy1VTRosIWcDq6Nc99z2qzdc/edit?usp=sharing"",""หนองคาย!J292"")+IMPORTRANGE(""https://docs.google.com/spreadsheets/d/1Hx73zIEgVdDZZaYSTc46Dqv64atFhpr3GelxLbaIN8A/edit?usp=sharing"",""หนองบัวลำภู"&amp;"!J292"")+IMPORTRANGE(""https://docs.google.com/spreadsheets/d/1lFxr3ctmjFN90yc-xV6jrQ9Ty8BKYVBWnAZ15wcNIJc/edit?usp=sharing"",""อำนาจเจริญ!J292"")+IMPORTRANGE(""https://docs.google.com/spreadsheets/d/1gF7RJpRnL-1oyjyeWxs5SFWEH7y8ahOZsQlyp2A2e-A/edit?usp=s"&amp;"haring"",""อุดรธานี!J292"")+IMPORTRANGE(""https://docs.google.com/spreadsheets/d/1kfLP0j3INXRa8bTDpcEmoWewMBV61jlFlfzczfjWIgc/edit?usp=sharing"",""อุบลราชธานี!J292"")"),0)</f>
        <v>0</v>
      </c>
      <c r="K292" s="182">
        <f t="shared" ref="K292:K293" ca="1" si="125">IF(I292&gt;0,J292*100/I292,0)</f>
        <v>0</v>
      </c>
      <c r="L292" s="165"/>
      <c r="M292" s="165"/>
      <c r="N292" s="165"/>
      <c r="O292" s="165"/>
      <c r="P292" s="165"/>
    </row>
    <row r="293" spans="1:16" ht="19.5" x14ac:dyDescent="0.3">
      <c r="A293" s="167"/>
      <c r="B293" s="168"/>
      <c r="C293" s="168"/>
      <c r="D293" s="178" t="s">
        <v>114</v>
      </c>
      <c r="E293" s="168"/>
      <c r="F293" s="174"/>
      <c r="G293" s="172"/>
      <c r="H293" s="175" t="s">
        <v>33</v>
      </c>
      <c r="I293" s="176">
        <f ca="1">IFERROR(__xludf.DUMMYFUNCTION("IMPORTRANGE(""https://docs.google.com/spreadsheets/d/1yhBcrRPreicbMKl9Bu_Snb2-OcQAF62RKfhTLhJ2eAA/edit?usp=sharing"",""กาฬสินธุ์!I293"")+IMPORTRANGE(""https://docs.google.com/spreadsheets/d/1aHkj4IaQMThhwWwevcOymEh837vdxeC_PycurhTbGFA/edit?usp=sharing"","&amp;"""ขอนแก่น!I293"")+IMPORTRANGE(""https://docs.google.com/spreadsheets/d/1FvTu2DsIWUjP6WCWra38Bkj_oOl_sOMf14r5Fg5srxU/edit?usp=sharing"",""ชัยภูมิ!I293"")+IMPORTRANGE(""https://docs.google.com/spreadsheets/d/1XVB7oCJ3pr-vBUdflwPQ8Z2LlzhnCvZaaYjAfP-647E/edit"&amp;"?usp=sharing"",""นครพนม!I293"")+IMPORTRANGE(""https://docs.google.com/spreadsheets/d/1Mnpb-8PYAgn85W6KOTD40hc_Xc55CaLfHoGAbrZ8tls/edit?usp=sharing"",""นครราชสีมา!I293"")+IMPORTRANGE(""https://docs.google.com/spreadsheets/d/1xoDLGBv9CYbyosIhki0kTq6IpYNj-gp"&amp;"jxfobnaDiut0/edit?usp=sharing"",""บึงกาฬ!I293"")+IMPORTRANGE(""https://docs.google.com/spreadsheets/d/1MMPq-JyI6DSgQETxuSiXkesP-P7JHuemnE6QJIa-Nlw/edit?usp=sharing"",""บุรีรัมย์!I293"")+IMPORTRANGE(""https://docs.google.com/spreadsheets/d/1l6IZ8xUPgMrESzc"&amp;"TYwhA1k_tPjeQjJPTqlm8Gd9eU5g/edit?usp=sharing"",""มหาสารคาม!I293"")+IMPORTRANGE(""https://docs.google.com/spreadsheets/d/1uB74YLqNjWX6FObjekfB2NtSYigTQyR2rq9u4Ub2Sq4/edit?usp=sharing"",""มุกดาหาร!I293"")+IMPORTRANGE(""https://docs.google.com/spreadsheets/"&amp;"d/1NexK3geCPxCTO1fzNF8dPec7yZyUx3OaWkFBC9HsQOo/edit?usp=sharing"",""ยโสธร!I293"")+IMPORTRANGE(""https://docs.google.com/spreadsheets/d/1v_cJrbBlyqmnHPReHk44g9NrMRdENNlSy_E_c5M9fIg/edit?usp=sharing"",""ร้อยเอ็ด!I293"")+IMPORTRANGE(""https://docs.google.com"&amp;"/spreadsheets/d/1Ul4RCpCX66NxYADU1QpwAPjOmBzW64SsT11s1wzXw_c/edit?usp=sharing"",""เลย!I293"")+IMPORTRANGE(""https://docs.google.com/spreadsheets/d/1bRrNKwbHDVktQG10isr5vbWRtt5spIZPpkOSWgbT5ug/edit?usp=sharing"",""ศรีสะเกษ!I293"")+IMPORTRANGE(""https://doc"&amp;"s.google.com/spreadsheets/d/17P34_Ow5kFBfdQD0qspb2UuPX5zpi6WMrQzslghyvrI/edit?usp=sharing"",""สกลนคร!I293"")+IMPORTRANGE(""https://docs.google.com/spreadsheets/d/1yswqbM3-AEpThF3ZSUa1AcmHnmRTF1vlJ1CZGcJ8YuU/edit?usp=sharing"",""สุรินทร์!I293"")+IMPORTRANG"&amp;"E(""https://docs.google.com/spreadsheets/d/13JHU_EFbsQOUQ0JSQ3dWy1VTRosIWcDq6Nc99z2qzdc/edit?usp=sharing"",""หนองคาย!I293"")+IMPORTRANGE(""https://docs.google.com/spreadsheets/d/1Hx73zIEgVdDZZaYSTc46Dqv64atFhpr3GelxLbaIN8A/edit?usp=sharing"",""หนองบัวลำภู"&amp;"!I293"")+IMPORTRANGE(""https://docs.google.com/spreadsheets/d/1lFxr3ctmjFN90yc-xV6jrQ9Ty8BKYVBWnAZ15wcNIJc/edit?usp=sharing"",""อำนาจเจริญ!I293"")+IMPORTRANGE(""https://docs.google.com/spreadsheets/d/1gF7RJpRnL-1oyjyeWxs5SFWEH7y8ahOZsQlyp2A2e-A/edit?usp=s"&amp;"haring"",""อุดรธานี!I293"")+IMPORTRANGE(""https://docs.google.com/spreadsheets/d/1kfLP0j3INXRa8bTDpcEmoWewMBV61jlFlfzczfjWIgc/edit?usp=sharing"",""อุบลราชธานี!I293"")"),230)</f>
        <v>230</v>
      </c>
      <c r="J293" s="176">
        <f ca="1">IFERROR(__xludf.DUMMYFUNCTION("IMPORTRANGE(""https://docs.google.com/spreadsheets/d/1yhBcrRPreicbMKl9Bu_Snb2-OcQAF62RKfhTLhJ2eAA/edit?usp=sharing"",""กาฬสินธุ์!J293"")+IMPORTRANGE(""https://docs.google.com/spreadsheets/d/1aHkj4IaQMThhwWwevcOymEh837vdxeC_PycurhTbGFA/edit?usp=sharing"","&amp;"""ขอนแก่น!J293"")+IMPORTRANGE(""https://docs.google.com/spreadsheets/d/1FvTu2DsIWUjP6WCWra38Bkj_oOl_sOMf14r5Fg5srxU/edit?usp=sharing"",""ชัยภูมิ!J293"")+IMPORTRANGE(""https://docs.google.com/spreadsheets/d/1XVB7oCJ3pr-vBUdflwPQ8Z2LlzhnCvZaaYjAfP-647E/edit"&amp;"?usp=sharing"",""นครพนม!J293"")+IMPORTRANGE(""https://docs.google.com/spreadsheets/d/1Mnpb-8PYAgn85W6KOTD40hc_Xc55CaLfHoGAbrZ8tls/edit?usp=sharing"",""นครราชสีมา!J293"")+IMPORTRANGE(""https://docs.google.com/spreadsheets/d/1xoDLGBv9CYbyosIhki0kTq6IpYNj-gp"&amp;"jxfobnaDiut0/edit?usp=sharing"",""บึงกาฬ!J293"")+IMPORTRANGE(""https://docs.google.com/spreadsheets/d/1MMPq-JyI6DSgQETxuSiXkesP-P7JHuemnE6QJIa-Nlw/edit?usp=sharing"",""บุรีรัมย์!J293"")+IMPORTRANGE(""https://docs.google.com/spreadsheets/d/1l6IZ8xUPgMrESzc"&amp;"TYwhA1k_tPjeQjJPTqlm8Gd9eU5g/edit?usp=sharing"",""มหาสารคาม!J293"")+IMPORTRANGE(""https://docs.google.com/spreadsheets/d/1uB74YLqNjWX6FObjekfB2NtSYigTQyR2rq9u4Ub2Sq4/edit?usp=sharing"",""มุกดาหาร!J293"")+IMPORTRANGE(""https://docs.google.com/spreadsheets/"&amp;"d/1NexK3geCPxCTO1fzNF8dPec7yZyUx3OaWkFBC9HsQOo/edit?usp=sharing"",""ยโสธร!J293"")+IMPORTRANGE(""https://docs.google.com/spreadsheets/d/1v_cJrbBlyqmnHPReHk44g9NrMRdENNlSy_E_c5M9fIg/edit?usp=sharing"",""ร้อยเอ็ด!J293"")+IMPORTRANGE(""https://docs.google.com"&amp;"/spreadsheets/d/1Ul4RCpCX66NxYADU1QpwAPjOmBzW64SsT11s1wzXw_c/edit?usp=sharing"",""เลย!J293"")+IMPORTRANGE(""https://docs.google.com/spreadsheets/d/1bRrNKwbHDVktQG10isr5vbWRtt5spIZPpkOSWgbT5ug/edit?usp=sharing"",""ศรีสะเกษ!J293"")+IMPORTRANGE(""https://doc"&amp;"s.google.com/spreadsheets/d/17P34_Ow5kFBfdQD0qspb2UuPX5zpi6WMrQzslghyvrI/edit?usp=sharing"",""สกลนคร!J293"")+IMPORTRANGE(""https://docs.google.com/spreadsheets/d/1yswqbM3-AEpThF3ZSUa1AcmHnmRTF1vlJ1CZGcJ8YuU/edit?usp=sharing"",""สุรินทร์!J293"")+IMPORTRANG"&amp;"E(""https://docs.google.com/spreadsheets/d/13JHU_EFbsQOUQ0JSQ3dWy1VTRosIWcDq6Nc99z2qzdc/edit?usp=sharing"",""หนองคาย!J293"")+IMPORTRANGE(""https://docs.google.com/spreadsheets/d/1Hx73zIEgVdDZZaYSTc46Dqv64atFhpr3GelxLbaIN8A/edit?usp=sharing"",""หนองบัวลำภู"&amp;"!J293"")+IMPORTRANGE(""https://docs.google.com/spreadsheets/d/1lFxr3ctmjFN90yc-xV6jrQ9Ty8BKYVBWnAZ15wcNIJc/edit?usp=sharing"",""อำนาจเจริญ!J293"")+IMPORTRANGE(""https://docs.google.com/spreadsheets/d/1gF7RJpRnL-1oyjyeWxs5SFWEH7y8ahOZsQlyp2A2e-A/edit?usp=s"&amp;"haring"",""อุดรธานี!J293"")+IMPORTRANGE(""https://docs.google.com/spreadsheets/d/1kfLP0j3INXRa8bTDpcEmoWewMBV61jlFlfzczfjWIgc/edit?usp=sharing"",""อุบลราชธานี!J293"")"),0)</f>
        <v>0</v>
      </c>
      <c r="K293" s="177">
        <f t="shared" ca="1" si="125"/>
        <v>0</v>
      </c>
      <c r="L293" s="165"/>
      <c r="M293" s="165"/>
      <c r="N293" s="165"/>
      <c r="O293" s="165"/>
      <c r="P293" s="165"/>
    </row>
    <row r="294" spans="1:16" ht="19.5" x14ac:dyDescent="0.3">
      <c r="A294" s="167"/>
      <c r="B294" s="168"/>
      <c r="C294" s="168"/>
      <c r="D294" s="174"/>
      <c r="E294" s="368" t="s">
        <v>115</v>
      </c>
      <c r="F294" s="174"/>
      <c r="G294" s="172"/>
      <c r="H294" s="172"/>
      <c r="I294" s="164"/>
      <c r="J294" s="57"/>
      <c r="K294" s="165"/>
      <c r="L294" s="165"/>
      <c r="M294" s="165"/>
      <c r="N294" s="165"/>
      <c r="O294" s="165"/>
      <c r="P294" s="165"/>
    </row>
    <row r="295" spans="1:16" ht="19.5" x14ac:dyDescent="0.3">
      <c r="A295" s="167"/>
      <c r="B295" s="168"/>
      <c r="C295" s="168"/>
      <c r="D295" s="174"/>
      <c r="E295" s="193" t="s">
        <v>116</v>
      </c>
      <c r="F295" s="174"/>
      <c r="G295" s="172"/>
      <c r="H295" s="179" t="s">
        <v>33</v>
      </c>
      <c r="I295" s="180">
        <f ca="1">IFERROR(__xludf.DUMMYFUNCTION("IMPORTRANGE(""https://docs.google.com/spreadsheets/d/1yhBcrRPreicbMKl9Bu_Snb2-OcQAF62RKfhTLhJ2eAA/edit?usp=sharing"",""กาฬสินธุ์!I295"")+IMPORTRANGE(""https://docs.google.com/spreadsheets/d/1aHkj4IaQMThhwWwevcOymEh837vdxeC_PycurhTbGFA/edit?usp=sharing"","&amp;"""ขอนแก่น!I295"")+IMPORTRANGE(""https://docs.google.com/spreadsheets/d/1FvTu2DsIWUjP6WCWra38Bkj_oOl_sOMf14r5Fg5srxU/edit?usp=sharing"",""ชัยภูมิ!I295"")+IMPORTRANGE(""https://docs.google.com/spreadsheets/d/1XVB7oCJ3pr-vBUdflwPQ8Z2LlzhnCvZaaYjAfP-647E/edit"&amp;"?usp=sharing"",""นครพนม!I295"")+IMPORTRANGE(""https://docs.google.com/spreadsheets/d/1Mnpb-8PYAgn85W6KOTD40hc_Xc55CaLfHoGAbrZ8tls/edit?usp=sharing"",""นครราชสีมา!I295"")+IMPORTRANGE(""https://docs.google.com/spreadsheets/d/1xoDLGBv9CYbyosIhki0kTq6IpYNj-gp"&amp;"jxfobnaDiut0/edit?usp=sharing"",""บึงกาฬ!I295"")+IMPORTRANGE(""https://docs.google.com/spreadsheets/d/1MMPq-JyI6DSgQETxuSiXkesP-P7JHuemnE6QJIa-Nlw/edit?usp=sharing"",""บุรีรัมย์!I295"")+IMPORTRANGE(""https://docs.google.com/spreadsheets/d/1l6IZ8xUPgMrESzc"&amp;"TYwhA1k_tPjeQjJPTqlm8Gd9eU5g/edit?usp=sharing"",""มหาสารคาม!I295"")+IMPORTRANGE(""https://docs.google.com/spreadsheets/d/1uB74YLqNjWX6FObjekfB2NtSYigTQyR2rq9u4Ub2Sq4/edit?usp=sharing"",""มุกดาหาร!I295"")+IMPORTRANGE(""https://docs.google.com/spreadsheets/"&amp;"d/1NexK3geCPxCTO1fzNF8dPec7yZyUx3OaWkFBC9HsQOo/edit?usp=sharing"",""ยโสธร!I295"")+IMPORTRANGE(""https://docs.google.com/spreadsheets/d/1v_cJrbBlyqmnHPReHk44g9NrMRdENNlSy_E_c5M9fIg/edit?usp=sharing"",""ร้อยเอ็ด!I295"")+IMPORTRANGE(""https://docs.google.com"&amp;"/spreadsheets/d/1Ul4RCpCX66NxYADU1QpwAPjOmBzW64SsT11s1wzXw_c/edit?usp=sharing"",""เลย!I295"")+IMPORTRANGE(""https://docs.google.com/spreadsheets/d/1bRrNKwbHDVktQG10isr5vbWRtt5spIZPpkOSWgbT5ug/edit?usp=sharing"",""ศรีสะเกษ!I295"")+IMPORTRANGE(""https://doc"&amp;"s.google.com/spreadsheets/d/17P34_Ow5kFBfdQD0qspb2UuPX5zpi6WMrQzslghyvrI/edit?usp=sharing"",""สกลนคร!I295"")+IMPORTRANGE(""https://docs.google.com/spreadsheets/d/1yswqbM3-AEpThF3ZSUa1AcmHnmRTF1vlJ1CZGcJ8YuU/edit?usp=sharing"",""สุรินทร์!I295"")+IMPORTRANG"&amp;"E(""https://docs.google.com/spreadsheets/d/13JHU_EFbsQOUQ0JSQ3dWy1VTRosIWcDq6Nc99z2qzdc/edit?usp=sharing"",""หนองคาย!I295"")+IMPORTRANGE(""https://docs.google.com/spreadsheets/d/1Hx73zIEgVdDZZaYSTc46Dqv64atFhpr3GelxLbaIN8A/edit?usp=sharing"",""หนองบัวลำภู"&amp;"!I295"")+IMPORTRANGE(""https://docs.google.com/spreadsheets/d/1lFxr3ctmjFN90yc-xV6jrQ9Ty8BKYVBWnAZ15wcNIJc/edit?usp=sharing"",""อำนาจเจริญ!I295"")+IMPORTRANGE(""https://docs.google.com/spreadsheets/d/1gF7RJpRnL-1oyjyeWxs5SFWEH7y8ahOZsQlyp2A2e-A/edit?usp=s"&amp;"haring"",""อุดรธานี!I295"")+IMPORTRANGE(""https://docs.google.com/spreadsheets/d/1kfLP0j3INXRa8bTDpcEmoWewMBV61jlFlfzczfjWIgc/edit?usp=sharing"",""อุบลราชธานี!I295"")"),230)</f>
        <v>230</v>
      </c>
      <c r="J295" s="181">
        <f ca="1">IFERROR(__xludf.DUMMYFUNCTION("IMPORTRANGE(""https://docs.google.com/spreadsheets/d/1yhBcrRPreicbMKl9Bu_Snb2-OcQAF62RKfhTLhJ2eAA/edit?usp=sharing"",""กาฬสินธุ์!J295"")+IMPORTRANGE(""https://docs.google.com/spreadsheets/d/1aHkj4IaQMThhwWwevcOymEh837vdxeC_PycurhTbGFA/edit?usp=sharing"","&amp;"""ขอนแก่น!J295"")+IMPORTRANGE(""https://docs.google.com/spreadsheets/d/1FvTu2DsIWUjP6WCWra38Bkj_oOl_sOMf14r5Fg5srxU/edit?usp=sharing"",""ชัยภูมิ!J295"")+IMPORTRANGE(""https://docs.google.com/spreadsheets/d/1XVB7oCJ3pr-vBUdflwPQ8Z2LlzhnCvZaaYjAfP-647E/edit"&amp;"?usp=sharing"",""นครพนม!J295"")+IMPORTRANGE(""https://docs.google.com/spreadsheets/d/1Mnpb-8PYAgn85W6KOTD40hc_Xc55CaLfHoGAbrZ8tls/edit?usp=sharing"",""นครราชสีมา!J295"")+IMPORTRANGE(""https://docs.google.com/spreadsheets/d/1xoDLGBv9CYbyosIhki0kTq6IpYNj-gp"&amp;"jxfobnaDiut0/edit?usp=sharing"",""บึงกาฬ!J295"")+IMPORTRANGE(""https://docs.google.com/spreadsheets/d/1MMPq-JyI6DSgQETxuSiXkesP-P7JHuemnE6QJIa-Nlw/edit?usp=sharing"",""บุรีรัมย์!J295"")+IMPORTRANGE(""https://docs.google.com/spreadsheets/d/1l6IZ8xUPgMrESzc"&amp;"TYwhA1k_tPjeQjJPTqlm8Gd9eU5g/edit?usp=sharing"",""มหาสารคาม!J295"")+IMPORTRANGE(""https://docs.google.com/spreadsheets/d/1uB74YLqNjWX6FObjekfB2NtSYigTQyR2rq9u4Ub2Sq4/edit?usp=sharing"",""มุกดาหาร!J295"")+IMPORTRANGE(""https://docs.google.com/spreadsheets/"&amp;"d/1NexK3geCPxCTO1fzNF8dPec7yZyUx3OaWkFBC9HsQOo/edit?usp=sharing"",""ยโสธร!J295"")+IMPORTRANGE(""https://docs.google.com/spreadsheets/d/1v_cJrbBlyqmnHPReHk44g9NrMRdENNlSy_E_c5M9fIg/edit?usp=sharing"",""ร้อยเอ็ด!J295"")+IMPORTRANGE(""https://docs.google.com"&amp;"/spreadsheets/d/1Ul4RCpCX66NxYADU1QpwAPjOmBzW64SsT11s1wzXw_c/edit?usp=sharing"",""เลย!J295"")+IMPORTRANGE(""https://docs.google.com/spreadsheets/d/1bRrNKwbHDVktQG10isr5vbWRtt5spIZPpkOSWgbT5ug/edit?usp=sharing"",""ศรีสะเกษ!J295"")+IMPORTRANGE(""https://doc"&amp;"s.google.com/spreadsheets/d/17P34_Ow5kFBfdQD0qspb2UuPX5zpi6WMrQzslghyvrI/edit?usp=sharing"",""สกลนคร!J295"")+IMPORTRANGE(""https://docs.google.com/spreadsheets/d/1yswqbM3-AEpThF3ZSUa1AcmHnmRTF1vlJ1CZGcJ8YuU/edit?usp=sharing"",""สุรินทร์!J295"")+IMPORTRANG"&amp;"E(""https://docs.google.com/spreadsheets/d/13JHU_EFbsQOUQ0JSQ3dWy1VTRosIWcDq6Nc99z2qzdc/edit?usp=sharing"",""หนองคาย!J295"")+IMPORTRANGE(""https://docs.google.com/spreadsheets/d/1Hx73zIEgVdDZZaYSTc46Dqv64atFhpr3GelxLbaIN8A/edit?usp=sharing"",""หนองบัวลำภู"&amp;"!J295"")+IMPORTRANGE(""https://docs.google.com/spreadsheets/d/1lFxr3ctmjFN90yc-xV6jrQ9Ty8BKYVBWnAZ15wcNIJc/edit?usp=sharing"",""อำนาจเจริญ!J295"")+IMPORTRANGE(""https://docs.google.com/spreadsheets/d/1gF7RJpRnL-1oyjyeWxs5SFWEH7y8ahOZsQlyp2A2e-A/edit?usp=s"&amp;"haring"",""อุดรธานี!J295"")+IMPORTRANGE(""https://docs.google.com/spreadsheets/d/1kfLP0j3INXRa8bTDpcEmoWewMBV61jlFlfzczfjWIgc/edit?usp=sharing"",""อุบลราชธานี!J295"")"),0)</f>
        <v>0</v>
      </c>
      <c r="K295" s="182">
        <f t="shared" ref="K295:K296" ca="1" si="126">IF(I295&gt;0,J295*100/I295,0)</f>
        <v>0</v>
      </c>
      <c r="L295" s="165"/>
      <c r="M295" s="165"/>
      <c r="N295" s="165"/>
      <c r="O295" s="165"/>
      <c r="P295" s="165"/>
    </row>
    <row r="296" spans="1:16" ht="19.5" x14ac:dyDescent="0.3">
      <c r="A296" s="167"/>
      <c r="B296" s="168"/>
      <c r="C296" s="168"/>
      <c r="D296" s="174"/>
      <c r="E296" s="178" t="s">
        <v>117</v>
      </c>
      <c r="F296" s="174"/>
      <c r="G296" s="172"/>
      <c r="H296" s="179" t="s">
        <v>33</v>
      </c>
      <c r="I296" s="180">
        <f ca="1">IFERROR(__xludf.DUMMYFUNCTION("IMPORTRANGE(""https://docs.google.com/spreadsheets/d/1yhBcrRPreicbMKl9Bu_Snb2-OcQAF62RKfhTLhJ2eAA/edit?usp=sharing"",""กาฬสินธุ์!I296"")+IMPORTRANGE(""https://docs.google.com/spreadsheets/d/1aHkj4IaQMThhwWwevcOymEh837vdxeC_PycurhTbGFA/edit?usp=sharing"","&amp;"""ขอนแก่น!I296"")+IMPORTRANGE(""https://docs.google.com/spreadsheets/d/1FvTu2DsIWUjP6WCWra38Bkj_oOl_sOMf14r5Fg5srxU/edit?usp=sharing"",""ชัยภูมิ!I296"")+IMPORTRANGE(""https://docs.google.com/spreadsheets/d/1XVB7oCJ3pr-vBUdflwPQ8Z2LlzhnCvZaaYjAfP-647E/edit"&amp;"?usp=sharing"",""นครพนม!I296"")+IMPORTRANGE(""https://docs.google.com/spreadsheets/d/1Mnpb-8PYAgn85W6KOTD40hc_Xc55CaLfHoGAbrZ8tls/edit?usp=sharing"",""นครราชสีมา!I296"")+IMPORTRANGE(""https://docs.google.com/spreadsheets/d/1xoDLGBv9CYbyosIhki0kTq6IpYNj-gp"&amp;"jxfobnaDiut0/edit?usp=sharing"",""บึงกาฬ!I296"")+IMPORTRANGE(""https://docs.google.com/spreadsheets/d/1MMPq-JyI6DSgQETxuSiXkesP-P7JHuemnE6QJIa-Nlw/edit?usp=sharing"",""บุรีรัมย์!I296"")+IMPORTRANGE(""https://docs.google.com/spreadsheets/d/1l6IZ8xUPgMrESzc"&amp;"TYwhA1k_tPjeQjJPTqlm8Gd9eU5g/edit?usp=sharing"",""มหาสารคาม!I296"")+IMPORTRANGE(""https://docs.google.com/spreadsheets/d/1uB74YLqNjWX6FObjekfB2NtSYigTQyR2rq9u4Ub2Sq4/edit?usp=sharing"",""มุกดาหาร!I296"")+IMPORTRANGE(""https://docs.google.com/spreadsheets/"&amp;"d/1NexK3geCPxCTO1fzNF8dPec7yZyUx3OaWkFBC9HsQOo/edit?usp=sharing"",""ยโสธร!I296"")+IMPORTRANGE(""https://docs.google.com/spreadsheets/d/1v_cJrbBlyqmnHPReHk44g9NrMRdENNlSy_E_c5M9fIg/edit?usp=sharing"",""ร้อยเอ็ด!I296"")+IMPORTRANGE(""https://docs.google.com"&amp;"/spreadsheets/d/1Ul4RCpCX66NxYADU1QpwAPjOmBzW64SsT11s1wzXw_c/edit?usp=sharing"",""เลย!I296"")+IMPORTRANGE(""https://docs.google.com/spreadsheets/d/1bRrNKwbHDVktQG10isr5vbWRtt5spIZPpkOSWgbT5ug/edit?usp=sharing"",""ศรีสะเกษ!I296"")+IMPORTRANGE(""https://doc"&amp;"s.google.com/spreadsheets/d/17P34_Ow5kFBfdQD0qspb2UuPX5zpi6WMrQzslghyvrI/edit?usp=sharing"",""สกลนคร!I296"")+IMPORTRANGE(""https://docs.google.com/spreadsheets/d/1yswqbM3-AEpThF3ZSUa1AcmHnmRTF1vlJ1CZGcJ8YuU/edit?usp=sharing"",""สุรินทร์!I296"")+IMPORTRANG"&amp;"E(""https://docs.google.com/spreadsheets/d/13JHU_EFbsQOUQ0JSQ3dWy1VTRosIWcDq6Nc99z2qzdc/edit?usp=sharing"",""หนองคาย!I296"")+IMPORTRANGE(""https://docs.google.com/spreadsheets/d/1Hx73zIEgVdDZZaYSTc46Dqv64atFhpr3GelxLbaIN8A/edit?usp=sharing"",""หนองบัวลำภู"&amp;"!I296"")+IMPORTRANGE(""https://docs.google.com/spreadsheets/d/1lFxr3ctmjFN90yc-xV6jrQ9Ty8BKYVBWnAZ15wcNIJc/edit?usp=sharing"",""อำนาจเจริญ!I296"")+IMPORTRANGE(""https://docs.google.com/spreadsheets/d/1gF7RJpRnL-1oyjyeWxs5SFWEH7y8ahOZsQlyp2A2e-A/edit?usp=s"&amp;"haring"",""อุดรธานี!I296"")+IMPORTRANGE(""https://docs.google.com/spreadsheets/d/1kfLP0j3INXRa8bTDpcEmoWewMBV61jlFlfzczfjWIgc/edit?usp=sharing"",""อุบลราชธานี!I296"")"),230)</f>
        <v>230</v>
      </c>
      <c r="J296" s="181">
        <f ca="1">IFERROR(__xludf.DUMMYFUNCTION("IMPORTRANGE(""https://docs.google.com/spreadsheets/d/1yhBcrRPreicbMKl9Bu_Snb2-OcQAF62RKfhTLhJ2eAA/edit?usp=sharing"",""กาฬสินธุ์!J296"")+IMPORTRANGE(""https://docs.google.com/spreadsheets/d/1aHkj4IaQMThhwWwevcOymEh837vdxeC_PycurhTbGFA/edit?usp=sharing"","&amp;"""ขอนแก่น!J296"")+IMPORTRANGE(""https://docs.google.com/spreadsheets/d/1FvTu2DsIWUjP6WCWra38Bkj_oOl_sOMf14r5Fg5srxU/edit?usp=sharing"",""ชัยภูมิ!J296"")+IMPORTRANGE(""https://docs.google.com/spreadsheets/d/1XVB7oCJ3pr-vBUdflwPQ8Z2LlzhnCvZaaYjAfP-647E/edit"&amp;"?usp=sharing"",""นครพนม!J296"")+IMPORTRANGE(""https://docs.google.com/spreadsheets/d/1Mnpb-8PYAgn85W6KOTD40hc_Xc55CaLfHoGAbrZ8tls/edit?usp=sharing"",""นครราชสีมา!J296"")+IMPORTRANGE(""https://docs.google.com/spreadsheets/d/1xoDLGBv9CYbyosIhki0kTq6IpYNj-gp"&amp;"jxfobnaDiut0/edit?usp=sharing"",""บึงกาฬ!J296"")+IMPORTRANGE(""https://docs.google.com/spreadsheets/d/1MMPq-JyI6DSgQETxuSiXkesP-P7JHuemnE6QJIa-Nlw/edit?usp=sharing"",""บุรีรัมย์!J296"")+IMPORTRANGE(""https://docs.google.com/spreadsheets/d/1l6IZ8xUPgMrESzc"&amp;"TYwhA1k_tPjeQjJPTqlm8Gd9eU5g/edit?usp=sharing"",""มหาสารคาม!J296"")+IMPORTRANGE(""https://docs.google.com/spreadsheets/d/1uB74YLqNjWX6FObjekfB2NtSYigTQyR2rq9u4Ub2Sq4/edit?usp=sharing"",""มุกดาหาร!J296"")+IMPORTRANGE(""https://docs.google.com/spreadsheets/"&amp;"d/1NexK3geCPxCTO1fzNF8dPec7yZyUx3OaWkFBC9HsQOo/edit?usp=sharing"",""ยโสธร!J296"")+IMPORTRANGE(""https://docs.google.com/spreadsheets/d/1v_cJrbBlyqmnHPReHk44g9NrMRdENNlSy_E_c5M9fIg/edit?usp=sharing"",""ร้อยเอ็ด!J296"")+IMPORTRANGE(""https://docs.google.com"&amp;"/spreadsheets/d/1Ul4RCpCX66NxYADU1QpwAPjOmBzW64SsT11s1wzXw_c/edit?usp=sharing"",""เลย!J296"")+IMPORTRANGE(""https://docs.google.com/spreadsheets/d/1bRrNKwbHDVktQG10isr5vbWRtt5spIZPpkOSWgbT5ug/edit?usp=sharing"",""ศรีสะเกษ!J296"")+IMPORTRANGE(""https://doc"&amp;"s.google.com/spreadsheets/d/17P34_Ow5kFBfdQD0qspb2UuPX5zpi6WMrQzslghyvrI/edit?usp=sharing"",""สกลนคร!J296"")+IMPORTRANGE(""https://docs.google.com/spreadsheets/d/1yswqbM3-AEpThF3ZSUa1AcmHnmRTF1vlJ1CZGcJ8YuU/edit?usp=sharing"",""สุรินทร์!J296"")+IMPORTRANG"&amp;"E(""https://docs.google.com/spreadsheets/d/13JHU_EFbsQOUQ0JSQ3dWy1VTRosIWcDq6Nc99z2qzdc/edit?usp=sharing"",""หนองคาย!J296"")+IMPORTRANGE(""https://docs.google.com/spreadsheets/d/1Hx73zIEgVdDZZaYSTc46Dqv64atFhpr3GelxLbaIN8A/edit?usp=sharing"",""หนองบัวลำภู"&amp;"!J296"")+IMPORTRANGE(""https://docs.google.com/spreadsheets/d/1lFxr3ctmjFN90yc-xV6jrQ9Ty8BKYVBWnAZ15wcNIJc/edit?usp=sharing"",""อำนาจเจริญ!J296"")+IMPORTRANGE(""https://docs.google.com/spreadsheets/d/1gF7RJpRnL-1oyjyeWxs5SFWEH7y8ahOZsQlyp2A2e-A/edit?usp=s"&amp;"haring"",""อุดรธานี!J296"")+IMPORTRANGE(""https://docs.google.com/spreadsheets/d/1kfLP0j3INXRa8bTDpcEmoWewMBV61jlFlfzczfjWIgc/edit?usp=sharing"",""อุบลราชธานี!J296"")"),0)</f>
        <v>0</v>
      </c>
      <c r="K296" s="182">
        <f t="shared" ca="1" si="126"/>
        <v>0</v>
      </c>
      <c r="L296" s="165"/>
      <c r="M296" s="165"/>
      <c r="N296" s="165"/>
      <c r="O296" s="165"/>
      <c r="P296" s="165"/>
    </row>
    <row r="297" spans="1:16" ht="19.5" hidden="1" x14ac:dyDescent="0.3">
      <c r="A297" s="335"/>
      <c r="B297" s="211"/>
      <c r="C297" s="211"/>
      <c r="D297" s="17"/>
      <c r="E297" s="210"/>
      <c r="F297" s="17"/>
      <c r="G297" s="20"/>
      <c r="H297" s="20"/>
      <c r="I297" s="22"/>
      <c r="J297" s="22"/>
      <c r="K297" s="23"/>
      <c r="L297" s="23"/>
      <c r="M297" s="23"/>
      <c r="N297" s="23"/>
      <c r="O297" s="23"/>
      <c r="P297" s="23"/>
    </row>
    <row r="298" spans="1:16" ht="18.75" hidden="1" x14ac:dyDescent="0.25">
      <c r="A298" s="335"/>
      <c r="B298" s="211"/>
      <c r="C298" s="211"/>
      <c r="D298" s="17"/>
      <c r="E298" s="25"/>
      <c r="F298" s="17"/>
      <c r="G298" s="20"/>
      <c r="H298" s="26"/>
      <c r="I298" s="212"/>
      <c r="J298" s="212"/>
      <c r="K298" s="27"/>
      <c r="L298" s="23"/>
      <c r="M298" s="23"/>
      <c r="N298" s="23"/>
      <c r="O298" s="23"/>
      <c r="P298" s="23"/>
    </row>
    <row r="299" spans="1:16" ht="18.75" hidden="1" x14ac:dyDescent="0.25">
      <c r="A299" s="369"/>
      <c r="B299" s="370"/>
      <c r="C299" s="370"/>
      <c r="D299" s="371"/>
      <c r="E299" s="372"/>
      <c r="F299" s="371"/>
      <c r="G299" s="373"/>
      <c r="H299" s="374"/>
      <c r="I299" s="375"/>
      <c r="J299" s="375"/>
      <c r="K299" s="376"/>
      <c r="L299" s="377"/>
      <c r="M299" s="377"/>
      <c r="N299" s="377"/>
      <c r="O299" s="377"/>
      <c r="P299" s="377"/>
    </row>
    <row r="300" spans="1:16" ht="19.5" x14ac:dyDescent="0.3">
      <c r="A300" s="378" t="s">
        <v>118</v>
      </c>
      <c r="B300" s="379"/>
      <c r="C300" s="379"/>
      <c r="D300" s="379"/>
      <c r="E300" s="380"/>
      <c r="F300" s="380"/>
      <c r="G300" s="380"/>
      <c r="H300" s="380"/>
      <c r="I300" s="381"/>
      <c r="J300" s="381"/>
      <c r="K300" s="382"/>
      <c r="L300" s="382"/>
      <c r="M300" s="382"/>
      <c r="N300" s="382"/>
      <c r="O300" s="382"/>
      <c r="P300" s="383"/>
    </row>
    <row r="301" spans="1:16" ht="19.5" x14ac:dyDescent="0.3">
      <c r="A301" s="384" t="s">
        <v>119</v>
      </c>
      <c r="B301" s="385"/>
      <c r="C301" s="385"/>
      <c r="D301" s="386"/>
      <c r="E301" s="386"/>
      <c r="F301" s="386"/>
      <c r="G301" s="387"/>
      <c r="H301" s="387"/>
      <c r="I301" s="388"/>
      <c r="J301" s="388"/>
      <c r="K301" s="389"/>
      <c r="L301" s="389"/>
      <c r="M301" s="389"/>
      <c r="N301" s="389"/>
      <c r="O301" s="389"/>
      <c r="P301" s="389"/>
    </row>
    <row r="302" spans="1:16" ht="19.5" x14ac:dyDescent="0.3">
      <c r="A302" s="390"/>
      <c r="B302" s="391" t="s">
        <v>120</v>
      </c>
      <c r="C302" s="392"/>
      <c r="D302" s="392"/>
      <c r="E302" s="392"/>
      <c r="F302" s="392"/>
      <c r="G302" s="393"/>
      <c r="H302" s="394" t="s">
        <v>33</v>
      </c>
      <c r="I302" s="395">
        <f t="shared" ref="I302:J302" ca="1" si="127">I314</f>
        <v>145</v>
      </c>
      <c r="J302" s="395">
        <f t="shared" ca="1" si="127"/>
        <v>0</v>
      </c>
      <c r="K302" s="396">
        <f ca="1">IF(I302&gt;0,J302*100/I302,0)</f>
        <v>0</v>
      </c>
      <c r="L302" s="397"/>
      <c r="M302" s="397"/>
      <c r="N302" s="397"/>
      <c r="O302" s="397"/>
      <c r="P302" s="397"/>
    </row>
    <row r="303" spans="1:16" ht="19.5" x14ac:dyDescent="0.3">
      <c r="A303" s="157"/>
      <c r="B303" s="53"/>
      <c r="C303" s="158" t="s">
        <v>16</v>
      </c>
      <c r="D303" s="159" t="s">
        <v>17</v>
      </c>
      <c r="E303" s="53"/>
      <c r="F303" s="53"/>
      <c r="G303" s="55"/>
      <c r="H303" s="160" t="s">
        <v>12</v>
      </c>
      <c r="I303" s="57"/>
      <c r="J303" s="57"/>
      <c r="K303" s="58"/>
      <c r="L303" s="161">
        <f t="shared" ref="L303:N303" ca="1" si="128">L304+L305</f>
        <v>1259700</v>
      </c>
      <c r="M303" s="161">
        <f t="shared" ca="1" si="128"/>
        <v>939400</v>
      </c>
      <c r="N303" s="161">
        <f t="shared" ca="1" si="128"/>
        <v>278517.32</v>
      </c>
      <c r="O303" s="161">
        <f t="shared" ref="O303:O311" ca="1" si="129">IF(L303&gt;0,N303*100/L303,0)</f>
        <v>22.109813447646264</v>
      </c>
      <c r="P303" s="161">
        <f t="shared" ref="P303:P311" ca="1" si="130">IF(M303&gt;0,N303*100/M303,0)</f>
        <v>29.648426655311901</v>
      </c>
    </row>
    <row r="304" spans="1:16" ht="18.75" x14ac:dyDescent="0.25">
      <c r="A304" s="157"/>
      <c r="B304" s="53"/>
      <c r="C304" s="53"/>
      <c r="D304" s="53"/>
      <c r="E304" s="60" t="s">
        <v>18</v>
      </c>
      <c r="F304" s="53"/>
      <c r="G304" s="55"/>
      <c r="H304" s="162" t="s">
        <v>12</v>
      </c>
      <c r="I304" s="57"/>
      <c r="J304" s="57"/>
      <c r="K304" s="58"/>
      <c r="L304" s="59">
        <f t="shared" ref="L304:N304" ca="1" si="131">L307+L310</f>
        <v>0</v>
      </c>
      <c r="M304" s="59">
        <f t="shared" ca="1" si="131"/>
        <v>0</v>
      </c>
      <c r="N304" s="59">
        <f t="shared" ca="1" si="131"/>
        <v>0</v>
      </c>
      <c r="O304" s="59">
        <f t="shared" ca="1" si="129"/>
        <v>0</v>
      </c>
      <c r="P304" s="59">
        <f t="shared" ca="1" si="130"/>
        <v>0</v>
      </c>
    </row>
    <row r="305" spans="1:16" ht="18.75" x14ac:dyDescent="0.25">
      <c r="A305" s="157"/>
      <c r="B305" s="53"/>
      <c r="C305" s="53"/>
      <c r="D305" s="53"/>
      <c r="E305" s="60" t="s">
        <v>19</v>
      </c>
      <c r="F305" s="53"/>
      <c r="G305" s="55"/>
      <c r="H305" s="162" t="s">
        <v>12</v>
      </c>
      <c r="I305" s="57"/>
      <c r="J305" s="57"/>
      <c r="K305" s="58"/>
      <c r="L305" s="59">
        <f t="shared" ref="L305:N305" ca="1" si="132">L308+L311</f>
        <v>1259700</v>
      </c>
      <c r="M305" s="59">
        <f t="shared" ca="1" si="132"/>
        <v>939400</v>
      </c>
      <c r="N305" s="59">
        <f t="shared" ca="1" si="132"/>
        <v>278517.32</v>
      </c>
      <c r="O305" s="59">
        <f t="shared" ca="1" si="129"/>
        <v>22.109813447646264</v>
      </c>
      <c r="P305" s="59">
        <f t="shared" ca="1" si="130"/>
        <v>29.648426655311901</v>
      </c>
    </row>
    <row r="306" spans="1:16" ht="18.75" x14ac:dyDescent="0.25">
      <c r="A306" s="157"/>
      <c r="B306" s="53"/>
      <c r="C306" s="53"/>
      <c r="D306" s="54" t="s">
        <v>20</v>
      </c>
      <c r="E306" s="53"/>
      <c r="F306" s="53"/>
      <c r="G306" s="55"/>
      <c r="H306" s="163" t="s">
        <v>12</v>
      </c>
      <c r="I306" s="164"/>
      <c r="J306" s="164"/>
      <c r="K306" s="165"/>
      <c r="L306" s="59">
        <f t="shared" ref="L306:N306" ca="1" si="133">L307+L308</f>
        <v>1259700</v>
      </c>
      <c r="M306" s="59">
        <f t="shared" ca="1" si="133"/>
        <v>939400</v>
      </c>
      <c r="N306" s="59">
        <f t="shared" ca="1" si="133"/>
        <v>278517.32</v>
      </c>
      <c r="O306" s="59">
        <f t="shared" ca="1" si="129"/>
        <v>22.109813447646264</v>
      </c>
      <c r="P306" s="59">
        <f t="shared" ca="1" si="130"/>
        <v>29.648426655311901</v>
      </c>
    </row>
    <row r="307" spans="1:16" ht="18.75" x14ac:dyDescent="0.25">
      <c r="A307" s="157"/>
      <c r="B307" s="53"/>
      <c r="C307" s="53"/>
      <c r="D307" s="53"/>
      <c r="E307" s="60" t="s">
        <v>34</v>
      </c>
      <c r="F307" s="53"/>
      <c r="G307" s="55"/>
      <c r="H307" s="163" t="s">
        <v>12</v>
      </c>
      <c r="I307" s="164"/>
      <c r="J307" s="164"/>
      <c r="K307" s="165"/>
      <c r="L307" s="59">
        <f ca="1">IFERROR(__xludf.DUMMYFUNCTION("IMPORTRANGE(""https://docs.google.com/spreadsheets/d/1yhBcrRPreicbMKl9Bu_Snb2-OcQAF62RKfhTLhJ2eAA/edit?usp=sharing"",""กาฬสินธุ์!L307"")+IMPORTRANGE(""https://docs.google.com/spreadsheets/d/1aHkj4IaQMThhwWwevcOymEh837vdxeC_PycurhTbGFA/edit?usp=sharing"","&amp;"""ขอนแก่น!L307"")+IMPORTRANGE(""https://docs.google.com/spreadsheets/d/1FvTu2DsIWUjP6WCWra38Bkj_oOl_sOMf14r5Fg5srxU/edit?usp=sharing"",""ชัยภูมิ!L307"")+IMPORTRANGE(""https://docs.google.com/spreadsheets/d/1XVB7oCJ3pr-vBUdflwPQ8Z2LlzhnCvZaaYjAfP-647E/edit"&amp;"?usp=sharing"",""นครพนม!L307"")+IMPORTRANGE(""https://docs.google.com/spreadsheets/d/1Mnpb-8PYAgn85W6KOTD40hc_Xc55CaLfHoGAbrZ8tls/edit?usp=sharing"",""นครราชสีมา!L307"")+IMPORTRANGE(""https://docs.google.com/spreadsheets/d/1xoDLGBv9CYbyosIhki0kTq6IpYNj-gp"&amp;"jxfobnaDiut0/edit?usp=sharing"",""บึงกาฬ!L307"")+IMPORTRANGE(""https://docs.google.com/spreadsheets/d/1MMPq-JyI6DSgQETxuSiXkesP-P7JHuemnE6QJIa-Nlw/edit?usp=sharing"",""บุรีรัมย์!L307"")+IMPORTRANGE(""https://docs.google.com/spreadsheets/d/1l6IZ8xUPgMrESzc"&amp;"TYwhA1k_tPjeQjJPTqlm8Gd9eU5g/edit?usp=sharing"",""มหาสารคาม!L307"")+IMPORTRANGE(""https://docs.google.com/spreadsheets/d/1uB74YLqNjWX6FObjekfB2NtSYigTQyR2rq9u4Ub2Sq4/edit?usp=sharing"",""มุกดาหาร!L307"")+IMPORTRANGE(""https://docs.google.com/spreadsheets/"&amp;"d/1NexK3geCPxCTO1fzNF8dPec7yZyUx3OaWkFBC9HsQOo/edit?usp=sharing"",""ยโสธร!L307"")+IMPORTRANGE(""https://docs.google.com/spreadsheets/d/1v_cJrbBlyqmnHPReHk44g9NrMRdENNlSy_E_c5M9fIg/edit?usp=sharing"",""ร้อยเอ็ด!L307"")+IMPORTRANGE(""https://docs.google.com"&amp;"/spreadsheets/d/1Ul4RCpCX66NxYADU1QpwAPjOmBzW64SsT11s1wzXw_c/edit?usp=sharing"",""เลย!L307"")+IMPORTRANGE(""https://docs.google.com/spreadsheets/d/1bRrNKwbHDVktQG10isr5vbWRtt5spIZPpkOSWgbT5ug/edit?usp=sharing"",""ศรีสะเกษ!L307"")+IMPORTRANGE(""https://doc"&amp;"s.google.com/spreadsheets/d/17P34_Ow5kFBfdQD0qspb2UuPX5zpi6WMrQzslghyvrI/edit?usp=sharing"",""สกลนคร!L307"")+IMPORTRANGE(""https://docs.google.com/spreadsheets/d/1yswqbM3-AEpThF3ZSUa1AcmHnmRTF1vlJ1CZGcJ8YuU/edit?usp=sharing"",""สุรินทร์!L307"")+IMPORTRANG"&amp;"E(""https://docs.google.com/spreadsheets/d/13JHU_EFbsQOUQ0JSQ3dWy1VTRosIWcDq6Nc99z2qzdc/edit?usp=sharing"",""หนองคาย!L307"")+IMPORTRANGE(""https://docs.google.com/spreadsheets/d/1Hx73zIEgVdDZZaYSTc46Dqv64atFhpr3GelxLbaIN8A/edit?usp=sharing"",""หนองบัวลำภู"&amp;"!L307"")+IMPORTRANGE(""https://docs.google.com/spreadsheets/d/1lFxr3ctmjFN90yc-xV6jrQ9Ty8BKYVBWnAZ15wcNIJc/edit?usp=sharing"",""อำนาจเจริญ!L307"")+IMPORTRANGE(""https://docs.google.com/spreadsheets/d/1gF7RJpRnL-1oyjyeWxs5SFWEH7y8ahOZsQlyp2A2e-A/edit?usp=s"&amp;"haring"",""อุดรธานี!L307"")+IMPORTRANGE(""https://docs.google.com/spreadsheets/d/1kfLP0j3INXRa8bTDpcEmoWewMBV61jlFlfzczfjWIgc/edit?usp=sharing"",""อุบลราชธานี!L307"")"),0)</f>
        <v>0</v>
      </c>
      <c r="M307" s="59">
        <f ca="1">IFERROR(__xludf.DUMMYFUNCTION("IMPORTRANGE(""https://docs.google.com/spreadsheets/d/1yhBcrRPreicbMKl9Bu_Snb2-OcQAF62RKfhTLhJ2eAA/edit?usp=sharing"",""กาฬสินธุ์!M307"")+IMPORTRANGE(""https://docs.google.com/spreadsheets/d/1aHkj4IaQMThhwWwevcOymEh837vdxeC_PycurhTbGFA/edit?usp=sharing"","&amp;"""ขอนแก่น!M307"")+IMPORTRANGE(""https://docs.google.com/spreadsheets/d/1FvTu2DsIWUjP6WCWra38Bkj_oOl_sOMf14r5Fg5srxU/edit?usp=sharing"",""ชัยภูมิ!M307"")+IMPORTRANGE(""https://docs.google.com/spreadsheets/d/1XVB7oCJ3pr-vBUdflwPQ8Z2LlzhnCvZaaYjAfP-647E/edit"&amp;"?usp=sharing"",""นครพนม!M307"")+IMPORTRANGE(""https://docs.google.com/spreadsheets/d/1Mnpb-8PYAgn85W6KOTD40hc_Xc55CaLfHoGAbrZ8tls/edit?usp=sharing"",""นครราชสีมา!M307"")+IMPORTRANGE(""https://docs.google.com/spreadsheets/d/1xoDLGBv9CYbyosIhki0kTq6IpYNj-gp"&amp;"jxfobnaDiut0/edit?usp=sharing"",""บึงกาฬ!M307"")+IMPORTRANGE(""https://docs.google.com/spreadsheets/d/1MMPq-JyI6DSgQETxuSiXkesP-P7JHuemnE6QJIa-Nlw/edit?usp=sharing"",""บุรีรัมย์!M307"")+IMPORTRANGE(""https://docs.google.com/spreadsheets/d/1l6IZ8xUPgMrESzc"&amp;"TYwhA1k_tPjeQjJPTqlm8Gd9eU5g/edit?usp=sharing"",""มหาสารคาม!M307"")+IMPORTRANGE(""https://docs.google.com/spreadsheets/d/1uB74YLqNjWX6FObjekfB2NtSYigTQyR2rq9u4Ub2Sq4/edit?usp=sharing"",""มุกดาหาร!M307"")+IMPORTRANGE(""https://docs.google.com/spreadsheets/"&amp;"d/1NexK3geCPxCTO1fzNF8dPec7yZyUx3OaWkFBC9HsQOo/edit?usp=sharing"",""ยโสธร!M307"")+IMPORTRANGE(""https://docs.google.com/spreadsheets/d/1v_cJrbBlyqmnHPReHk44g9NrMRdENNlSy_E_c5M9fIg/edit?usp=sharing"",""ร้อยเอ็ด!M307"")+IMPORTRANGE(""https://docs.google.com"&amp;"/spreadsheets/d/1Ul4RCpCX66NxYADU1QpwAPjOmBzW64SsT11s1wzXw_c/edit?usp=sharing"",""เลย!M307"")+IMPORTRANGE(""https://docs.google.com/spreadsheets/d/1bRrNKwbHDVktQG10isr5vbWRtt5spIZPpkOSWgbT5ug/edit?usp=sharing"",""ศรีสะเกษ!M307"")+IMPORTRANGE(""https://doc"&amp;"s.google.com/spreadsheets/d/17P34_Ow5kFBfdQD0qspb2UuPX5zpi6WMrQzslghyvrI/edit?usp=sharing"",""สกลนคร!M307"")+IMPORTRANGE(""https://docs.google.com/spreadsheets/d/1yswqbM3-AEpThF3ZSUa1AcmHnmRTF1vlJ1CZGcJ8YuU/edit?usp=sharing"",""สุรินทร์!M307"")+IMPORTRANG"&amp;"E(""https://docs.google.com/spreadsheets/d/13JHU_EFbsQOUQ0JSQ3dWy1VTRosIWcDq6Nc99z2qzdc/edit?usp=sharing"",""หนองคาย!M307"")+IMPORTRANGE(""https://docs.google.com/spreadsheets/d/1Hx73zIEgVdDZZaYSTc46Dqv64atFhpr3GelxLbaIN8A/edit?usp=sharing"",""หนองบัวลำภู"&amp;"!M307"")+IMPORTRANGE(""https://docs.google.com/spreadsheets/d/1lFxr3ctmjFN90yc-xV6jrQ9Ty8BKYVBWnAZ15wcNIJc/edit?usp=sharing"",""อำนาจเจริญ!M307"")+IMPORTRANGE(""https://docs.google.com/spreadsheets/d/1gF7RJpRnL-1oyjyeWxs5SFWEH7y8ahOZsQlyp2A2e-A/edit?usp=s"&amp;"haring"",""อุดรธานี!M307"")+IMPORTRANGE(""https://docs.google.com/spreadsheets/d/1kfLP0j3INXRa8bTDpcEmoWewMBV61jlFlfzczfjWIgc/edit?usp=sharing"",""อุบลราชธานี!M307"")"),0)</f>
        <v>0</v>
      </c>
      <c r="N307" s="59">
        <f ca="1">IFERROR(__xludf.DUMMYFUNCTION("IMPORTRANGE(""https://docs.google.com/spreadsheets/d/1yhBcrRPreicbMKl9Bu_Snb2-OcQAF62RKfhTLhJ2eAA/edit?usp=sharing"",""กาฬสินธุ์!N307"")+IMPORTRANGE(""https://docs.google.com/spreadsheets/d/1aHkj4IaQMThhwWwevcOymEh837vdxeC_PycurhTbGFA/edit?usp=sharing"","&amp;"""ขอนแก่น!N307"")+IMPORTRANGE(""https://docs.google.com/spreadsheets/d/1FvTu2DsIWUjP6WCWra38Bkj_oOl_sOMf14r5Fg5srxU/edit?usp=sharing"",""ชัยภูมิ!N307"")+IMPORTRANGE(""https://docs.google.com/spreadsheets/d/1XVB7oCJ3pr-vBUdflwPQ8Z2LlzhnCvZaaYjAfP-647E/edit"&amp;"?usp=sharing"",""นครพนม!N307"")+IMPORTRANGE(""https://docs.google.com/spreadsheets/d/1Mnpb-8PYAgn85W6KOTD40hc_Xc55CaLfHoGAbrZ8tls/edit?usp=sharing"",""นครราชสีมา!N307"")+IMPORTRANGE(""https://docs.google.com/spreadsheets/d/1xoDLGBv9CYbyosIhki0kTq6IpYNj-gp"&amp;"jxfobnaDiut0/edit?usp=sharing"",""บึงกาฬ!N307"")+IMPORTRANGE(""https://docs.google.com/spreadsheets/d/1MMPq-JyI6DSgQETxuSiXkesP-P7JHuemnE6QJIa-Nlw/edit?usp=sharing"",""บุรีรัมย์!N307"")+IMPORTRANGE(""https://docs.google.com/spreadsheets/d/1l6IZ8xUPgMrESzc"&amp;"TYwhA1k_tPjeQjJPTqlm8Gd9eU5g/edit?usp=sharing"",""มหาสารคาม!N307"")+IMPORTRANGE(""https://docs.google.com/spreadsheets/d/1uB74YLqNjWX6FObjekfB2NtSYigTQyR2rq9u4Ub2Sq4/edit?usp=sharing"",""มุกดาหาร!N307"")+IMPORTRANGE(""https://docs.google.com/spreadsheets/"&amp;"d/1NexK3geCPxCTO1fzNF8dPec7yZyUx3OaWkFBC9HsQOo/edit?usp=sharing"",""ยโสธร!N307"")+IMPORTRANGE(""https://docs.google.com/spreadsheets/d/1v_cJrbBlyqmnHPReHk44g9NrMRdENNlSy_E_c5M9fIg/edit?usp=sharing"",""ร้อยเอ็ด!N307"")+IMPORTRANGE(""https://docs.google.com"&amp;"/spreadsheets/d/1Ul4RCpCX66NxYADU1QpwAPjOmBzW64SsT11s1wzXw_c/edit?usp=sharing"",""เลย!N307"")+IMPORTRANGE(""https://docs.google.com/spreadsheets/d/1bRrNKwbHDVktQG10isr5vbWRtt5spIZPpkOSWgbT5ug/edit?usp=sharing"",""ศรีสะเกษ!N307"")+IMPORTRANGE(""https://doc"&amp;"s.google.com/spreadsheets/d/17P34_Ow5kFBfdQD0qspb2UuPX5zpi6WMrQzslghyvrI/edit?usp=sharing"",""สกลนคร!N307"")+IMPORTRANGE(""https://docs.google.com/spreadsheets/d/1yswqbM3-AEpThF3ZSUa1AcmHnmRTF1vlJ1CZGcJ8YuU/edit?usp=sharing"",""สุรินทร์!N307"")+IMPORTRANG"&amp;"E(""https://docs.google.com/spreadsheets/d/13JHU_EFbsQOUQ0JSQ3dWy1VTRosIWcDq6Nc99z2qzdc/edit?usp=sharing"",""หนองคาย!N307"")+IMPORTRANGE(""https://docs.google.com/spreadsheets/d/1Hx73zIEgVdDZZaYSTc46Dqv64atFhpr3GelxLbaIN8A/edit?usp=sharing"",""หนองบัวลำภู"&amp;"!N307"")+IMPORTRANGE(""https://docs.google.com/spreadsheets/d/1lFxr3ctmjFN90yc-xV6jrQ9Ty8BKYVBWnAZ15wcNIJc/edit?usp=sharing"",""อำนาจเจริญ!N307"")+IMPORTRANGE(""https://docs.google.com/spreadsheets/d/1gF7RJpRnL-1oyjyeWxs5SFWEH7y8ahOZsQlyp2A2e-A/edit?usp=s"&amp;"haring"",""อุดรธานี!N307"")+IMPORTRANGE(""https://docs.google.com/spreadsheets/d/1kfLP0j3INXRa8bTDpcEmoWewMBV61jlFlfzczfjWIgc/edit?usp=sharing"",""อุบลราชธานี!N307"")"),0)</f>
        <v>0</v>
      </c>
      <c r="O307" s="59">
        <f t="shared" ca="1" si="129"/>
        <v>0</v>
      </c>
      <c r="P307" s="59">
        <f t="shared" ca="1" si="130"/>
        <v>0</v>
      </c>
    </row>
    <row r="308" spans="1:16" ht="18.75" x14ac:dyDescent="0.25">
      <c r="A308" s="157"/>
      <c r="B308" s="53"/>
      <c r="C308" s="53"/>
      <c r="D308" s="53"/>
      <c r="E308" s="60" t="s">
        <v>35</v>
      </c>
      <c r="F308" s="53"/>
      <c r="G308" s="55"/>
      <c r="H308" s="163" t="s">
        <v>12</v>
      </c>
      <c r="I308" s="164"/>
      <c r="J308" s="164"/>
      <c r="K308" s="165"/>
      <c r="L308" s="59">
        <f ca="1">IFERROR(__xludf.DUMMYFUNCTION("IMPORTRANGE(""https://docs.google.com/spreadsheets/d/1yhBcrRPreicbMKl9Bu_Snb2-OcQAF62RKfhTLhJ2eAA/edit?usp=sharing"",""กาฬสินธุ์!L308"")+IMPORTRANGE(""https://docs.google.com/spreadsheets/d/1aHkj4IaQMThhwWwevcOymEh837vdxeC_PycurhTbGFA/edit?usp=sharing"","&amp;"""ขอนแก่น!L308"")+IMPORTRANGE(""https://docs.google.com/spreadsheets/d/1FvTu2DsIWUjP6WCWra38Bkj_oOl_sOMf14r5Fg5srxU/edit?usp=sharing"",""ชัยภูมิ!L308"")+IMPORTRANGE(""https://docs.google.com/spreadsheets/d/1XVB7oCJ3pr-vBUdflwPQ8Z2LlzhnCvZaaYjAfP-647E/edit"&amp;"?usp=sharing"",""นครพนม!L308"")+IMPORTRANGE(""https://docs.google.com/spreadsheets/d/1Mnpb-8PYAgn85W6KOTD40hc_Xc55CaLfHoGAbrZ8tls/edit?usp=sharing"",""นครราชสีมา!L308"")+IMPORTRANGE(""https://docs.google.com/spreadsheets/d/1xoDLGBv9CYbyosIhki0kTq6IpYNj-gp"&amp;"jxfobnaDiut0/edit?usp=sharing"",""บึงกาฬ!L308"")+IMPORTRANGE(""https://docs.google.com/spreadsheets/d/1MMPq-JyI6DSgQETxuSiXkesP-P7JHuemnE6QJIa-Nlw/edit?usp=sharing"",""บุรีรัมย์!L308"")+IMPORTRANGE(""https://docs.google.com/spreadsheets/d/1l6IZ8xUPgMrESzc"&amp;"TYwhA1k_tPjeQjJPTqlm8Gd9eU5g/edit?usp=sharing"",""มหาสารคาม!L308"")+IMPORTRANGE(""https://docs.google.com/spreadsheets/d/1uB74YLqNjWX6FObjekfB2NtSYigTQyR2rq9u4Ub2Sq4/edit?usp=sharing"",""มุกดาหาร!L308"")+IMPORTRANGE(""https://docs.google.com/spreadsheets/"&amp;"d/1NexK3geCPxCTO1fzNF8dPec7yZyUx3OaWkFBC9HsQOo/edit?usp=sharing"",""ยโสธร!L308"")+IMPORTRANGE(""https://docs.google.com/spreadsheets/d/1v_cJrbBlyqmnHPReHk44g9NrMRdENNlSy_E_c5M9fIg/edit?usp=sharing"",""ร้อยเอ็ด!L308"")+IMPORTRANGE(""https://docs.google.com"&amp;"/spreadsheets/d/1Ul4RCpCX66NxYADU1QpwAPjOmBzW64SsT11s1wzXw_c/edit?usp=sharing"",""เลย!L308"")+IMPORTRANGE(""https://docs.google.com/spreadsheets/d/1bRrNKwbHDVktQG10isr5vbWRtt5spIZPpkOSWgbT5ug/edit?usp=sharing"",""ศรีสะเกษ!L308"")+IMPORTRANGE(""https://doc"&amp;"s.google.com/spreadsheets/d/17P34_Ow5kFBfdQD0qspb2UuPX5zpi6WMrQzslghyvrI/edit?usp=sharing"",""สกลนคร!L308"")+IMPORTRANGE(""https://docs.google.com/spreadsheets/d/1yswqbM3-AEpThF3ZSUa1AcmHnmRTF1vlJ1CZGcJ8YuU/edit?usp=sharing"",""สุรินทร์!L308"")+IMPORTRANG"&amp;"E(""https://docs.google.com/spreadsheets/d/13JHU_EFbsQOUQ0JSQ3dWy1VTRosIWcDq6Nc99z2qzdc/edit?usp=sharing"",""หนองคาย!L308"")+IMPORTRANGE(""https://docs.google.com/spreadsheets/d/1Hx73zIEgVdDZZaYSTc46Dqv64atFhpr3GelxLbaIN8A/edit?usp=sharing"",""หนองบัวลำภู"&amp;"!L308"")+IMPORTRANGE(""https://docs.google.com/spreadsheets/d/1lFxr3ctmjFN90yc-xV6jrQ9Ty8BKYVBWnAZ15wcNIJc/edit?usp=sharing"",""อำนาจเจริญ!L308"")+IMPORTRANGE(""https://docs.google.com/spreadsheets/d/1gF7RJpRnL-1oyjyeWxs5SFWEH7y8ahOZsQlyp2A2e-A/edit?usp=s"&amp;"haring"",""อุดรธานี!L308"")+IMPORTRANGE(""https://docs.google.com/spreadsheets/d/1kfLP0j3INXRa8bTDpcEmoWewMBV61jlFlfzczfjWIgc/edit?usp=sharing"",""อุบลราชธานี!L308"")"),1259700)</f>
        <v>1259700</v>
      </c>
      <c r="M308" s="59">
        <f ca="1">IFERROR(__xludf.DUMMYFUNCTION("IMPORTRANGE(""https://docs.google.com/spreadsheets/d/1yhBcrRPreicbMKl9Bu_Snb2-OcQAF62RKfhTLhJ2eAA/edit?usp=sharing"",""กาฬสินธุ์!M308"")+IMPORTRANGE(""https://docs.google.com/spreadsheets/d/1aHkj4IaQMThhwWwevcOymEh837vdxeC_PycurhTbGFA/edit?usp=sharing"","&amp;"""ขอนแก่น!M308"")+IMPORTRANGE(""https://docs.google.com/spreadsheets/d/1FvTu2DsIWUjP6WCWra38Bkj_oOl_sOMf14r5Fg5srxU/edit?usp=sharing"",""ชัยภูมิ!M308"")+IMPORTRANGE(""https://docs.google.com/spreadsheets/d/1XVB7oCJ3pr-vBUdflwPQ8Z2LlzhnCvZaaYjAfP-647E/edit"&amp;"?usp=sharing"",""นครพนม!M308"")+IMPORTRANGE(""https://docs.google.com/spreadsheets/d/1Mnpb-8PYAgn85W6KOTD40hc_Xc55CaLfHoGAbrZ8tls/edit?usp=sharing"",""นครราชสีมา!M308"")+IMPORTRANGE(""https://docs.google.com/spreadsheets/d/1xoDLGBv9CYbyosIhki0kTq6IpYNj-gp"&amp;"jxfobnaDiut0/edit?usp=sharing"",""บึงกาฬ!M308"")+IMPORTRANGE(""https://docs.google.com/spreadsheets/d/1MMPq-JyI6DSgQETxuSiXkesP-P7JHuemnE6QJIa-Nlw/edit?usp=sharing"",""บุรีรัมย์!M308"")+IMPORTRANGE(""https://docs.google.com/spreadsheets/d/1l6IZ8xUPgMrESzc"&amp;"TYwhA1k_tPjeQjJPTqlm8Gd9eU5g/edit?usp=sharing"",""มหาสารคาม!M308"")+IMPORTRANGE(""https://docs.google.com/spreadsheets/d/1uB74YLqNjWX6FObjekfB2NtSYigTQyR2rq9u4Ub2Sq4/edit?usp=sharing"",""มุกดาหาร!M308"")+IMPORTRANGE(""https://docs.google.com/spreadsheets/"&amp;"d/1NexK3geCPxCTO1fzNF8dPec7yZyUx3OaWkFBC9HsQOo/edit?usp=sharing"",""ยโสธร!M308"")+IMPORTRANGE(""https://docs.google.com/spreadsheets/d/1v_cJrbBlyqmnHPReHk44g9NrMRdENNlSy_E_c5M9fIg/edit?usp=sharing"",""ร้อยเอ็ด!M308"")+IMPORTRANGE(""https://docs.google.com"&amp;"/spreadsheets/d/1Ul4RCpCX66NxYADU1QpwAPjOmBzW64SsT11s1wzXw_c/edit?usp=sharing"",""เลย!M308"")+IMPORTRANGE(""https://docs.google.com/spreadsheets/d/1bRrNKwbHDVktQG10isr5vbWRtt5spIZPpkOSWgbT5ug/edit?usp=sharing"",""ศรีสะเกษ!M308"")+IMPORTRANGE(""https://doc"&amp;"s.google.com/spreadsheets/d/17P34_Ow5kFBfdQD0qspb2UuPX5zpi6WMrQzslghyvrI/edit?usp=sharing"",""สกลนคร!M308"")+IMPORTRANGE(""https://docs.google.com/spreadsheets/d/1yswqbM3-AEpThF3ZSUa1AcmHnmRTF1vlJ1CZGcJ8YuU/edit?usp=sharing"",""สุรินทร์!M308"")+IMPORTRANG"&amp;"E(""https://docs.google.com/spreadsheets/d/13JHU_EFbsQOUQ0JSQ3dWy1VTRosIWcDq6Nc99z2qzdc/edit?usp=sharing"",""หนองคาย!M308"")+IMPORTRANGE(""https://docs.google.com/spreadsheets/d/1Hx73zIEgVdDZZaYSTc46Dqv64atFhpr3GelxLbaIN8A/edit?usp=sharing"",""หนองบัวลำภู"&amp;"!M308"")+IMPORTRANGE(""https://docs.google.com/spreadsheets/d/1lFxr3ctmjFN90yc-xV6jrQ9Ty8BKYVBWnAZ15wcNIJc/edit?usp=sharing"",""อำนาจเจริญ!M308"")+IMPORTRANGE(""https://docs.google.com/spreadsheets/d/1gF7RJpRnL-1oyjyeWxs5SFWEH7y8ahOZsQlyp2A2e-A/edit?usp=s"&amp;"haring"",""อุดรธานี!M308"")+IMPORTRANGE(""https://docs.google.com/spreadsheets/d/1kfLP0j3INXRa8bTDpcEmoWewMBV61jlFlfzczfjWIgc/edit?usp=sharing"",""อุบลราชธานี!M308"")"),939400)</f>
        <v>939400</v>
      </c>
      <c r="N308" s="59">
        <f ca="1">IFERROR(__xludf.DUMMYFUNCTION("IMPORTRANGE(""https://docs.google.com/spreadsheets/d/1yhBcrRPreicbMKl9Bu_Snb2-OcQAF62RKfhTLhJ2eAA/edit?usp=sharing"",""กาฬสินธุ์!N308"")+IMPORTRANGE(""https://docs.google.com/spreadsheets/d/1aHkj4IaQMThhwWwevcOymEh837vdxeC_PycurhTbGFA/edit?usp=sharing"","&amp;"""ขอนแก่น!N308"")+IMPORTRANGE(""https://docs.google.com/spreadsheets/d/1FvTu2DsIWUjP6WCWra38Bkj_oOl_sOMf14r5Fg5srxU/edit?usp=sharing"",""ชัยภูมิ!N308"")+IMPORTRANGE(""https://docs.google.com/spreadsheets/d/1XVB7oCJ3pr-vBUdflwPQ8Z2LlzhnCvZaaYjAfP-647E/edit"&amp;"?usp=sharing"",""นครพนม!N308"")+IMPORTRANGE(""https://docs.google.com/spreadsheets/d/1Mnpb-8PYAgn85W6KOTD40hc_Xc55CaLfHoGAbrZ8tls/edit?usp=sharing"",""นครราชสีมา!N308"")+IMPORTRANGE(""https://docs.google.com/spreadsheets/d/1xoDLGBv9CYbyosIhki0kTq6IpYNj-gp"&amp;"jxfobnaDiut0/edit?usp=sharing"",""บึงกาฬ!N308"")+IMPORTRANGE(""https://docs.google.com/spreadsheets/d/1MMPq-JyI6DSgQETxuSiXkesP-P7JHuemnE6QJIa-Nlw/edit?usp=sharing"",""บุรีรัมย์!N308"")+IMPORTRANGE(""https://docs.google.com/spreadsheets/d/1l6IZ8xUPgMrESzc"&amp;"TYwhA1k_tPjeQjJPTqlm8Gd9eU5g/edit?usp=sharing"",""มหาสารคาม!N308"")+IMPORTRANGE(""https://docs.google.com/spreadsheets/d/1uB74YLqNjWX6FObjekfB2NtSYigTQyR2rq9u4Ub2Sq4/edit?usp=sharing"",""มุกดาหาร!N308"")+IMPORTRANGE(""https://docs.google.com/spreadsheets/"&amp;"d/1NexK3geCPxCTO1fzNF8dPec7yZyUx3OaWkFBC9HsQOo/edit?usp=sharing"",""ยโสธร!N308"")+IMPORTRANGE(""https://docs.google.com/spreadsheets/d/1v_cJrbBlyqmnHPReHk44g9NrMRdENNlSy_E_c5M9fIg/edit?usp=sharing"",""ร้อยเอ็ด!N308"")+IMPORTRANGE(""https://docs.google.com"&amp;"/spreadsheets/d/1Ul4RCpCX66NxYADU1QpwAPjOmBzW64SsT11s1wzXw_c/edit?usp=sharing"",""เลย!N308"")+IMPORTRANGE(""https://docs.google.com/spreadsheets/d/1bRrNKwbHDVktQG10isr5vbWRtt5spIZPpkOSWgbT5ug/edit?usp=sharing"",""ศรีสะเกษ!N308"")+IMPORTRANGE(""https://doc"&amp;"s.google.com/spreadsheets/d/17P34_Ow5kFBfdQD0qspb2UuPX5zpi6WMrQzslghyvrI/edit?usp=sharing"",""สกลนคร!N308"")+IMPORTRANGE(""https://docs.google.com/spreadsheets/d/1yswqbM3-AEpThF3ZSUa1AcmHnmRTF1vlJ1CZGcJ8YuU/edit?usp=sharing"",""สุรินทร์!N308"")+IMPORTRANG"&amp;"E(""https://docs.google.com/spreadsheets/d/13JHU_EFbsQOUQ0JSQ3dWy1VTRosIWcDq6Nc99z2qzdc/edit?usp=sharing"",""หนองคาย!N308"")+IMPORTRANGE(""https://docs.google.com/spreadsheets/d/1Hx73zIEgVdDZZaYSTc46Dqv64atFhpr3GelxLbaIN8A/edit?usp=sharing"",""หนองบัวลำภู"&amp;"!N308"")+IMPORTRANGE(""https://docs.google.com/spreadsheets/d/1lFxr3ctmjFN90yc-xV6jrQ9Ty8BKYVBWnAZ15wcNIJc/edit?usp=sharing"",""อำนาจเจริญ!N308"")+IMPORTRANGE(""https://docs.google.com/spreadsheets/d/1gF7RJpRnL-1oyjyeWxs5SFWEH7y8ahOZsQlyp2A2e-A/edit?usp=s"&amp;"haring"",""อุดรธานี!N308"")+IMPORTRANGE(""https://docs.google.com/spreadsheets/d/1kfLP0j3INXRa8bTDpcEmoWewMBV61jlFlfzczfjWIgc/edit?usp=sharing"",""อุบลราชธานี!N308"")"),278517.32)</f>
        <v>278517.32</v>
      </c>
      <c r="O308" s="59">
        <f t="shared" ca="1" si="129"/>
        <v>22.109813447646264</v>
      </c>
      <c r="P308" s="59">
        <f t="shared" ca="1" si="130"/>
        <v>29.648426655311901</v>
      </c>
    </row>
    <row r="309" spans="1:16" ht="18.75" x14ac:dyDescent="0.25">
      <c r="A309" s="157"/>
      <c r="B309" s="53"/>
      <c r="C309" s="53"/>
      <c r="D309" s="54" t="s">
        <v>21</v>
      </c>
      <c r="E309" s="53"/>
      <c r="F309" s="53"/>
      <c r="G309" s="55"/>
      <c r="H309" s="166" t="s">
        <v>12</v>
      </c>
      <c r="I309" s="164"/>
      <c r="J309" s="164"/>
      <c r="K309" s="165"/>
      <c r="L309" s="59">
        <f t="shared" ref="L309:N309" ca="1" si="134">L310+L311</f>
        <v>0</v>
      </c>
      <c r="M309" s="59">
        <f t="shared" ca="1" si="134"/>
        <v>0</v>
      </c>
      <c r="N309" s="59">
        <f t="shared" ca="1" si="134"/>
        <v>0</v>
      </c>
      <c r="O309" s="59">
        <f t="shared" ca="1" si="129"/>
        <v>0</v>
      </c>
      <c r="P309" s="59">
        <f t="shared" ca="1" si="130"/>
        <v>0</v>
      </c>
    </row>
    <row r="310" spans="1:16" ht="18.75" x14ac:dyDescent="0.25">
      <c r="A310" s="157"/>
      <c r="B310" s="53"/>
      <c r="C310" s="53"/>
      <c r="D310" s="53"/>
      <c r="E310" s="60" t="s">
        <v>18</v>
      </c>
      <c r="F310" s="53"/>
      <c r="G310" s="55"/>
      <c r="H310" s="163" t="s">
        <v>12</v>
      </c>
      <c r="I310" s="164"/>
      <c r="J310" s="164"/>
      <c r="K310" s="165"/>
      <c r="L310" s="59">
        <f ca="1">IFERROR(__xludf.DUMMYFUNCTION("IMPORTRANGE(""https://docs.google.com/spreadsheets/d/1yhBcrRPreicbMKl9Bu_Snb2-OcQAF62RKfhTLhJ2eAA/edit?usp=sharing"",""กาฬสินธุ์!L310"")+IMPORTRANGE(""https://docs.google.com/spreadsheets/d/1aHkj4IaQMThhwWwevcOymEh837vdxeC_PycurhTbGFA/edit?usp=sharing"","&amp;"""ขอนแก่น!L310"")+IMPORTRANGE(""https://docs.google.com/spreadsheets/d/1FvTu2DsIWUjP6WCWra38Bkj_oOl_sOMf14r5Fg5srxU/edit?usp=sharing"",""ชัยภูมิ!L310"")+IMPORTRANGE(""https://docs.google.com/spreadsheets/d/1XVB7oCJ3pr-vBUdflwPQ8Z2LlzhnCvZaaYjAfP-647E/edit"&amp;"?usp=sharing"",""นครพนม!L310"")+IMPORTRANGE(""https://docs.google.com/spreadsheets/d/1Mnpb-8PYAgn85W6KOTD40hc_Xc55CaLfHoGAbrZ8tls/edit?usp=sharing"",""นครราชสีมา!L310"")+IMPORTRANGE(""https://docs.google.com/spreadsheets/d/1xoDLGBv9CYbyosIhki0kTq6IpYNj-gp"&amp;"jxfobnaDiut0/edit?usp=sharing"",""บึงกาฬ!L310"")+IMPORTRANGE(""https://docs.google.com/spreadsheets/d/1MMPq-JyI6DSgQETxuSiXkesP-P7JHuemnE6QJIa-Nlw/edit?usp=sharing"",""บุรีรัมย์!L310"")+IMPORTRANGE(""https://docs.google.com/spreadsheets/d/1l6IZ8xUPgMrESzc"&amp;"TYwhA1k_tPjeQjJPTqlm8Gd9eU5g/edit?usp=sharing"",""มหาสารคาม!L310"")+IMPORTRANGE(""https://docs.google.com/spreadsheets/d/1uB74YLqNjWX6FObjekfB2NtSYigTQyR2rq9u4Ub2Sq4/edit?usp=sharing"",""มุกดาหาร!L310"")+IMPORTRANGE(""https://docs.google.com/spreadsheets/"&amp;"d/1NexK3geCPxCTO1fzNF8dPec7yZyUx3OaWkFBC9HsQOo/edit?usp=sharing"",""ยโสธร!L310"")+IMPORTRANGE(""https://docs.google.com/spreadsheets/d/1v_cJrbBlyqmnHPReHk44g9NrMRdENNlSy_E_c5M9fIg/edit?usp=sharing"",""ร้อยเอ็ด!L310"")+IMPORTRANGE(""https://docs.google.com"&amp;"/spreadsheets/d/1Ul4RCpCX66NxYADU1QpwAPjOmBzW64SsT11s1wzXw_c/edit?usp=sharing"",""เลย!L310"")+IMPORTRANGE(""https://docs.google.com/spreadsheets/d/1bRrNKwbHDVktQG10isr5vbWRtt5spIZPpkOSWgbT5ug/edit?usp=sharing"",""ศรีสะเกษ!L310"")+IMPORTRANGE(""https://doc"&amp;"s.google.com/spreadsheets/d/17P34_Ow5kFBfdQD0qspb2UuPX5zpi6WMrQzslghyvrI/edit?usp=sharing"",""สกลนคร!L310"")+IMPORTRANGE(""https://docs.google.com/spreadsheets/d/1yswqbM3-AEpThF3ZSUa1AcmHnmRTF1vlJ1CZGcJ8YuU/edit?usp=sharing"",""สุรินทร์!L310"")+IMPORTRANG"&amp;"E(""https://docs.google.com/spreadsheets/d/13JHU_EFbsQOUQ0JSQ3dWy1VTRosIWcDq6Nc99z2qzdc/edit?usp=sharing"",""หนองคาย!L310"")+IMPORTRANGE(""https://docs.google.com/spreadsheets/d/1Hx73zIEgVdDZZaYSTc46Dqv64atFhpr3GelxLbaIN8A/edit?usp=sharing"",""หนองบัวลำภู"&amp;"!L310"")+IMPORTRANGE(""https://docs.google.com/spreadsheets/d/1lFxr3ctmjFN90yc-xV6jrQ9Ty8BKYVBWnAZ15wcNIJc/edit?usp=sharing"",""อำนาจเจริญ!L310"")+IMPORTRANGE(""https://docs.google.com/spreadsheets/d/1gF7RJpRnL-1oyjyeWxs5SFWEH7y8ahOZsQlyp2A2e-A/edit?usp=s"&amp;"haring"",""อุดรธานี!L310"")+IMPORTRANGE(""https://docs.google.com/spreadsheets/d/1kfLP0j3INXRa8bTDpcEmoWewMBV61jlFlfzczfjWIgc/edit?usp=sharing"",""อุบลราชธานี!L310"")"),0)</f>
        <v>0</v>
      </c>
      <c r="M310" s="59">
        <f ca="1">IFERROR(__xludf.DUMMYFUNCTION("IMPORTRANGE(""https://docs.google.com/spreadsheets/d/1yhBcrRPreicbMKl9Bu_Snb2-OcQAF62RKfhTLhJ2eAA/edit?usp=sharing"",""กาฬสินธุ์!M310"")+IMPORTRANGE(""https://docs.google.com/spreadsheets/d/1aHkj4IaQMThhwWwevcOymEh837vdxeC_PycurhTbGFA/edit?usp=sharing"","&amp;"""ขอนแก่น!M310"")+IMPORTRANGE(""https://docs.google.com/spreadsheets/d/1FvTu2DsIWUjP6WCWra38Bkj_oOl_sOMf14r5Fg5srxU/edit?usp=sharing"",""ชัยภูมิ!M310"")+IMPORTRANGE(""https://docs.google.com/spreadsheets/d/1XVB7oCJ3pr-vBUdflwPQ8Z2LlzhnCvZaaYjAfP-647E/edit"&amp;"?usp=sharing"",""นครพนม!M310"")+IMPORTRANGE(""https://docs.google.com/spreadsheets/d/1Mnpb-8PYAgn85W6KOTD40hc_Xc55CaLfHoGAbrZ8tls/edit?usp=sharing"",""นครราชสีมา!M310"")+IMPORTRANGE(""https://docs.google.com/spreadsheets/d/1xoDLGBv9CYbyosIhki0kTq6IpYNj-gp"&amp;"jxfobnaDiut0/edit?usp=sharing"",""บึงกาฬ!M310"")+IMPORTRANGE(""https://docs.google.com/spreadsheets/d/1MMPq-JyI6DSgQETxuSiXkesP-P7JHuemnE6QJIa-Nlw/edit?usp=sharing"",""บุรีรัมย์!M310"")+IMPORTRANGE(""https://docs.google.com/spreadsheets/d/1l6IZ8xUPgMrESzc"&amp;"TYwhA1k_tPjeQjJPTqlm8Gd9eU5g/edit?usp=sharing"",""มหาสารคาม!M310"")+IMPORTRANGE(""https://docs.google.com/spreadsheets/d/1uB74YLqNjWX6FObjekfB2NtSYigTQyR2rq9u4Ub2Sq4/edit?usp=sharing"",""มุกดาหาร!M310"")+IMPORTRANGE(""https://docs.google.com/spreadsheets/"&amp;"d/1NexK3geCPxCTO1fzNF8dPec7yZyUx3OaWkFBC9HsQOo/edit?usp=sharing"",""ยโสธร!M310"")+IMPORTRANGE(""https://docs.google.com/spreadsheets/d/1v_cJrbBlyqmnHPReHk44g9NrMRdENNlSy_E_c5M9fIg/edit?usp=sharing"",""ร้อยเอ็ด!M310"")+IMPORTRANGE(""https://docs.google.com"&amp;"/spreadsheets/d/1Ul4RCpCX66NxYADU1QpwAPjOmBzW64SsT11s1wzXw_c/edit?usp=sharing"",""เลย!M310"")+IMPORTRANGE(""https://docs.google.com/spreadsheets/d/1bRrNKwbHDVktQG10isr5vbWRtt5spIZPpkOSWgbT5ug/edit?usp=sharing"",""ศรีสะเกษ!M310"")+IMPORTRANGE(""https://doc"&amp;"s.google.com/spreadsheets/d/17P34_Ow5kFBfdQD0qspb2UuPX5zpi6WMrQzslghyvrI/edit?usp=sharing"",""สกลนคร!M310"")+IMPORTRANGE(""https://docs.google.com/spreadsheets/d/1yswqbM3-AEpThF3ZSUa1AcmHnmRTF1vlJ1CZGcJ8YuU/edit?usp=sharing"",""สุรินทร์!M310"")+IMPORTRANG"&amp;"E(""https://docs.google.com/spreadsheets/d/13JHU_EFbsQOUQ0JSQ3dWy1VTRosIWcDq6Nc99z2qzdc/edit?usp=sharing"",""หนองคาย!M310"")+IMPORTRANGE(""https://docs.google.com/spreadsheets/d/1Hx73zIEgVdDZZaYSTc46Dqv64atFhpr3GelxLbaIN8A/edit?usp=sharing"",""หนองบัวลำภู"&amp;"!M310"")+IMPORTRANGE(""https://docs.google.com/spreadsheets/d/1lFxr3ctmjFN90yc-xV6jrQ9Ty8BKYVBWnAZ15wcNIJc/edit?usp=sharing"",""อำนาจเจริญ!M310"")+IMPORTRANGE(""https://docs.google.com/spreadsheets/d/1gF7RJpRnL-1oyjyeWxs5SFWEH7y8ahOZsQlyp2A2e-A/edit?usp=s"&amp;"haring"",""อุดรธานี!M310"")+IMPORTRANGE(""https://docs.google.com/spreadsheets/d/1kfLP0j3INXRa8bTDpcEmoWewMBV61jlFlfzczfjWIgc/edit?usp=sharing"",""อุบลราชธานี!M310"")"),0)</f>
        <v>0</v>
      </c>
      <c r="N310" s="59">
        <f ca="1">IFERROR(__xludf.DUMMYFUNCTION("IMPORTRANGE(""https://docs.google.com/spreadsheets/d/1yhBcrRPreicbMKl9Bu_Snb2-OcQAF62RKfhTLhJ2eAA/edit?usp=sharing"",""กาฬสินธุ์!N310"")+IMPORTRANGE(""https://docs.google.com/spreadsheets/d/1aHkj4IaQMThhwWwevcOymEh837vdxeC_PycurhTbGFA/edit?usp=sharing"","&amp;"""ขอนแก่น!N310"")+IMPORTRANGE(""https://docs.google.com/spreadsheets/d/1FvTu2DsIWUjP6WCWra38Bkj_oOl_sOMf14r5Fg5srxU/edit?usp=sharing"",""ชัยภูมิ!N310"")+IMPORTRANGE(""https://docs.google.com/spreadsheets/d/1XVB7oCJ3pr-vBUdflwPQ8Z2LlzhnCvZaaYjAfP-647E/edit"&amp;"?usp=sharing"",""นครพนม!N310"")+IMPORTRANGE(""https://docs.google.com/spreadsheets/d/1Mnpb-8PYAgn85W6KOTD40hc_Xc55CaLfHoGAbrZ8tls/edit?usp=sharing"",""นครราชสีมา!N310"")+IMPORTRANGE(""https://docs.google.com/spreadsheets/d/1xoDLGBv9CYbyosIhki0kTq6IpYNj-gp"&amp;"jxfobnaDiut0/edit?usp=sharing"",""บึงกาฬ!N310"")+IMPORTRANGE(""https://docs.google.com/spreadsheets/d/1MMPq-JyI6DSgQETxuSiXkesP-P7JHuemnE6QJIa-Nlw/edit?usp=sharing"",""บุรีรัมย์!N310"")+IMPORTRANGE(""https://docs.google.com/spreadsheets/d/1l6IZ8xUPgMrESzc"&amp;"TYwhA1k_tPjeQjJPTqlm8Gd9eU5g/edit?usp=sharing"",""มหาสารคาม!N310"")+IMPORTRANGE(""https://docs.google.com/spreadsheets/d/1uB74YLqNjWX6FObjekfB2NtSYigTQyR2rq9u4Ub2Sq4/edit?usp=sharing"",""มุกดาหาร!N310"")+IMPORTRANGE(""https://docs.google.com/spreadsheets/"&amp;"d/1NexK3geCPxCTO1fzNF8dPec7yZyUx3OaWkFBC9HsQOo/edit?usp=sharing"",""ยโสธร!N310"")+IMPORTRANGE(""https://docs.google.com/spreadsheets/d/1v_cJrbBlyqmnHPReHk44g9NrMRdENNlSy_E_c5M9fIg/edit?usp=sharing"",""ร้อยเอ็ด!N310"")+IMPORTRANGE(""https://docs.google.com"&amp;"/spreadsheets/d/1Ul4RCpCX66NxYADU1QpwAPjOmBzW64SsT11s1wzXw_c/edit?usp=sharing"",""เลย!N310"")+IMPORTRANGE(""https://docs.google.com/spreadsheets/d/1bRrNKwbHDVktQG10isr5vbWRtt5spIZPpkOSWgbT5ug/edit?usp=sharing"",""ศรีสะเกษ!N310"")+IMPORTRANGE(""https://doc"&amp;"s.google.com/spreadsheets/d/17P34_Ow5kFBfdQD0qspb2UuPX5zpi6WMrQzslghyvrI/edit?usp=sharing"",""สกลนคร!N310"")+IMPORTRANGE(""https://docs.google.com/spreadsheets/d/1yswqbM3-AEpThF3ZSUa1AcmHnmRTF1vlJ1CZGcJ8YuU/edit?usp=sharing"",""สุรินทร์!N310"")+IMPORTRANG"&amp;"E(""https://docs.google.com/spreadsheets/d/13JHU_EFbsQOUQ0JSQ3dWy1VTRosIWcDq6Nc99z2qzdc/edit?usp=sharing"",""หนองคาย!N310"")+IMPORTRANGE(""https://docs.google.com/spreadsheets/d/1Hx73zIEgVdDZZaYSTc46Dqv64atFhpr3GelxLbaIN8A/edit?usp=sharing"",""หนองบัวลำภู"&amp;"!N310"")+IMPORTRANGE(""https://docs.google.com/spreadsheets/d/1lFxr3ctmjFN90yc-xV6jrQ9Ty8BKYVBWnAZ15wcNIJc/edit?usp=sharing"",""อำนาจเจริญ!N310"")+IMPORTRANGE(""https://docs.google.com/spreadsheets/d/1gF7RJpRnL-1oyjyeWxs5SFWEH7y8ahOZsQlyp2A2e-A/edit?usp=s"&amp;"haring"",""อุดรธานี!N310"")+IMPORTRANGE(""https://docs.google.com/spreadsheets/d/1kfLP0j3INXRa8bTDpcEmoWewMBV61jlFlfzczfjWIgc/edit?usp=sharing"",""อุบลราชธานี!N310"")"),0)</f>
        <v>0</v>
      </c>
      <c r="O310" s="59">
        <f t="shared" ca="1" si="129"/>
        <v>0</v>
      </c>
      <c r="P310" s="59">
        <f t="shared" ca="1" si="130"/>
        <v>0</v>
      </c>
    </row>
    <row r="311" spans="1:16" ht="18.75" x14ac:dyDescent="0.25">
      <c r="A311" s="157"/>
      <c r="B311" s="53"/>
      <c r="C311" s="53"/>
      <c r="D311" s="53"/>
      <c r="E311" s="60" t="s">
        <v>19</v>
      </c>
      <c r="F311" s="53"/>
      <c r="G311" s="55"/>
      <c r="H311" s="166" t="s">
        <v>12</v>
      </c>
      <c r="I311" s="164"/>
      <c r="J311" s="164"/>
      <c r="K311" s="165"/>
      <c r="L311" s="59">
        <f ca="1">IFERROR(__xludf.DUMMYFUNCTION("IMPORTRANGE(""https://docs.google.com/spreadsheets/d/1yhBcrRPreicbMKl9Bu_Snb2-OcQAF62RKfhTLhJ2eAA/edit?usp=sharing"",""กาฬสินธุ์!L311"")+IMPORTRANGE(""https://docs.google.com/spreadsheets/d/1aHkj4IaQMThhwWwevcOymEh837vdxeC_PycurhTbGFA/edit?usp=sharing"","&amp;"""ขอนแก่น!L311"")+IMPORTRANGE(""https://docs.google.com/spreadsheets/d/1FvTu2DsIWUjP6WCWra38Bkj_oOl_sOMf14r5Fg5srxU/edit?usp=sharing"",""ชัยภูมิ!L311"")+IMPORTRANGE(""https://docs.google.com/spreadsheets/d/1XVB7oCJ3pr-vBUdflwPQ8Z2LlzhnCvZaaYjAfP-647E/edit"&amp;"?usp=sharing"",""นครพนม!L311"")+IMPORTRANGE(""https://docs.google.com/spreadsheets/d/1Mnpb-8PYAgn85W6KOTD40hc_Xc55CaLfHoGAbrZ8tls/edit?usp=sharing"",""นครราชสีมา!L311"")+IMPORTRANGE(""https://docs.google.com/spreadsheets/d/1xoDLGBv9CYbyosIhki0kTq6IpYNj-gp"&amp;"jxfobnaDiut0/edit?usp=sharing"",""บึงกาฬ!L311"")+IMPORTRANGE(""https://docs.google.com/spreadsheets/d/1MMPq-JyI6DSgQETxuSiXkesP-P7JHuemnE6QJIa-Nlw/edit?usp=sharing"",""บุรีรัมย์!L311"")+IMPORTRANGE(""https://docs.google.com/spreadsheets/d/1l6IZ8xUPgMrESzc"&amp;"TYwhA1k_tPjeQjJPTqlm8Gd9eU5g/edit?usp=sharing"",""มหาสารคาม!L311"")+IMPORTRANGE(""https://docs.google.com/spreadsheets/d/1uB74YLqNjWX6FObjekfB2NtSYigTQyR2rq9u4Ub2Sq4/edit?usp=sharing"",""มุกดาหาร!L311"")+IMPORTRANGE(""https://docs.google.com/spreadsheets/"&amp;"d/1NexK3geCPxCTO1fzNF8dPec7yZyUx3OaWkFBC9HsQOo/edit?usp=sharing"",""ยโสธร!L311"")+IMPORTRANGE(""https://docs.google.com/spreadsheets/d/1v_cJrbBlyqmnHPReHk44g9NrMRdENNlSy_E_c5M9fIg/edit?usp=sharing"",""ร้อยเอ็ด!L311"")+IMPORTRANGE(""https://docs.google.com"&amp;"/spreadsheets/d/1Ul4RCpCX66NxYADU1QpwAPjOmBzW64SsT11s1wzXw_c/edit?usp=sharing"",""เลย!L311"")+IMPORTRANGE(""https://docs.google.com/spreadsheets/d/1bRrNKwbHDVktQG10isr5vbWRtt5spIZPpkOSWgbT5ug/edit?usp=sharing"",""ศรีสะเกษ!L311"")+IMPORTRANGE(""https://doc"&amp;"s.google.com/spreadsheets/d/17P34_Ow5kFBfdQD0qspb2UuPX5zpi6WMrQzslghyvrI/edit?usp=sharing"",""สกลนคร!L311"")+IMPORTRANGE(""https://docs.google.com/spreadsheets/d/1yswqbM3-AEpThF3ZSUa1AcmHnmRTF1vlJ1CZGcJ8YuU/edit?usp=sharing"",""สุรินทร์!L311"")+IMPORTRANG"&amp;"E(""https://docs.google.com/spreadsheets/d/13JHU_EFbsQOUQ0JSQ3dWy1VTRosIWcDq6Nc99z2qzdc/edit?usp=sharing"",""หนองคาย!L311"")+IMPORTRANGE(""https://docs.google.com/spreadsheets/d/1Hx73zIEgVdDZZaYSTc46Dqv64atFhpr3GelxLbaIN8A/edit?usp=sharing"",""หนองบัวลำภู"&amp;"!L311"")+IMPORTRANGE(""https://docs.google.com/spreadsheets/d/1lFxr3ctmjFN90yc-xV6jrQ9Ty8BKYVBWnAZ15wcNIJc/edit?usp=sharing"",""อำนาจเจริญ!L311"")+IMPORTRANGE(""https://docs.google.com/spreadsheets/d/1gF7RJpRnL-1oyjyeWxs5SFWEH7y8ahOZsQlyp2A2e-A/edit?usp=s"&amp;"haring"",""อุดรธานี!L311"")+IMPORTRANGE(""https://docs.google.com/spreadsheets/d/1kfLP0j3INXRa8bTDpcEmoWewMBV61jlFlfzczfjWIgc/edit?usp=sharing"",""อุบลราชธานี!L311"")"),0)</f>
        <v>0</v>
      </c>
      <c r="M311" s="59">
        <f ca="1">IFERROR(__xludf.DUMMYFUNCTION("IMPORTRANGE(""https://docs.google.com/spreadsheets/d/1yhBcrRPreicbMKl9Bu_Snb2-OcQAF62RKfhTLhJ2eAA/edit?usp=sharing"",""กาฬสินธุ์!M311"")+IMPORTRANGE(""https://docs.google.com/spreadsheets/d/1aHkj4IaQMThhwWwevcOymEh837vdxeC_PycurhTbGFA/edit?usp=sharing"","&amp;"""ขอนแก่น!M311"")+IMPORTRANGE(""https://docs.google.com/spreadsheets/d/1FvTu2DsIWUjP6WCWra38Bkj_oOl_sOMf14r5Fg5srxU/edit?usp=sharing"",""ชัยภูมิ!M311"")+IMPORTRANGE(""https://docs.google.com/spreadsheets/d/1XVB7oCJ3pr-vBUdflwPQ8Z2LlzhnCvZaaYjAfP-647E/edit"&amp;"?usp=sharing"",""นครพนม!M311"")+IMPORTRANGE(""https://docs.google.com/spreadsheets/d/1Mnpb-8PYAgn85W6KOTD40hc_Xc55CaLfHoGAbrZ8tls/edit?usp=sharing"",""นครราชสีมา!M311"")+IMPORTRANGE(""https://docs.google.com/spreadsheets/d/1xoDLGBv9CYbyosIhki0kTq6IpYNj-gp"&amp;"jxfobnaDiut0/edit?usp=sharing"",""บึงกาฬ!M311"")+IMPORTRANGE(""https://docs.google.com/spreadsheets/d/1MMPq-JyI6DSgQETxuSiXkesP-P7JHuemnE6QJIa-Nlw/edit?usp=sharing"",""บุรีรัมย์!M311"")+IMPORTRANGE(""https://docs.google.com/spreadsheets/d/1l6IZ8xUPgMrESzc"&amp;"TYwhA1k_tPjeQjJPTqlm8Gd9eU5g/edit?usp=sharing"",""มหาสารคาม!M311"")+IMPORTRANGE(""https://docs.google.com/spreadsheets/d/1uB74YLqNjWX6FObjekfB2NtSYigTQyR2rq9u4Ub2Sq4/edit?usp=sharing"",""มุกดาหาร!M311"")+IMPORTRANGE(""https://docs.google.com/spreadsheets/"&amp;"d/1NexK3geCPxCTO1fzNF8dPec7yZyUx3OaWkFBC9HsQOo/edit?usp=sharing"",""ยโสธร!M311"")+IMPORTRANGE(""https://docs.google.com/spreadsheets/d/1v_cJrbBlyqmnHPReHk44g9NrMRdENNlSy_E_c5M9fIg/edit?usp=sharing"",""ร้อยเอ็ด!M311"")+IMPORTRANGE(""https://docs.google.com"&amp;"/spreadsheets/d/1Ul4RCpCX66NxYADU1QpwAPjOmBzW64SsT11s1wzXw_c/edit?usp=sharing"",""เลย!M311"")+IMPORTRANGE(""https://docs.google.com/spreadsheets/d/1bRrNKwbHDVktQG10isr5vbWRtt5spIZPpkOSWgbT5ug/edit?usp=sharing"",""ศรีสะเกษ!M311"")+IMPORTRANGE(""https://doc"&amp;"s.google.com/spreadsheets/d/17P34_Ow5kFBfdQD0qspb2UuPX5zpi6WMrQzslghyvrI/edit?usp=sharing"",""สกลนคร!M311"")+IMPORTRANGE(""https://docs.google.com/spreadsheets/d/1yswqbM3-AEpThF3ZSUa1AcmHnmRTF1vlJ1CZGcJ8YuU/edit?usp=sharing"",""สุรินทร์!M311"")+IMPORTRANG"&amp;"E(""https://docs.google.com/spreadsheets/d/13JHU_EFbsQOUQ0JSQ3dWy1VTRosIWcDq6Nc99z2qzdc/edit?usp=sharing"",""หนองคาย!M311"")+IMPORTRANGE(""https://docs.google.com/spreadsheets/d/1Hx73zIEgVdDZZaYSTc46Dqv64atFhpr3GelxLbaIN8A/edit?usp=sharing"",""หนองบัวลำภู"&amp;"!M311"")+IMPORTRANGE(""https://docs.google.com/spreadsheets/d/1lFxr3ctmjFN90yc-xV6jrQ9Ty8BKYVBWnAZ15wcNIJc/edit?usp=sharing"",""อำนาจเจริญ!M311"")+IMPORTRANGE(""https://docs.google.com/spreadsheets/d/1gF7RJpRnL-1oyjyeWxs5SFWEH7y8ahOZsQlyp2A2e-A/edit?usp=s"&amp;"haring"",""อุดรธานี!M311"")+IMPORTRANGE(""https://docs.google.com/spreadsheets/d/1kfLP0j3INXRa8bTDpcEmoWewMBV61jlFlfzczfjWIgc/edit?usp=sharing"",""อุบลราชธานี!M311"")"),0)</f>
        <v>0</v>
      </c>
      <c r="N311" s="59">
        <f ca="1">IFERROR(__xludf.DUMMYFUNCTION("IMPORTRANGE(""https://docs.google.com/spreadsheets/d/1yhBcrRPreicbMKl9Bu_Snb2-OcQAF62RKfhTLhJ2eAA/edit?usp=sharing"",""กาฬสินธุ์!N311"")+IMPORTRANGE(""https://docs.google.com/spreadsheets/d/1aHkj4IaQMThhwWwevcOymEh837vdxeC_PycurhTbGFA/edit?usp=sharing"","&amp;"""ขอนแก่น!N311"")+IMPORTRANGE(""https://docs.google.com/spreadsheets/d/1FvTu2DsIWUjP6WCWra38Bkj_oOl_sOMf14r5Fg5srxU/edit?usp=sharing"",""ชัยภูมิ!N311"")+IMPORTRANGE(""https://docs.google.com/spreadsheets/d/1XVB7oCJ3pr-vBUdflwPQ8Z2LlzhnCvZaaYjAfP-647E/edit"&amp;"?usp=sharing"",""นครพนม!N311"")+IMPORTRANGE(""https://docs.google.com/spreadsheets/d/1Mnpb-8PYAgn85W6KOTD40hc_Xc55CaLfHoGAbrZ8tls/edit?usp=sharing"",""นครราชสีมา!N311"")+IMPORTRANGE(""https://docs.google.com/spreadsheets/d/1xoDLGBv9CYbyosIhki0kTq6IpYNj-gp"&amp;"jxfobnaDiut0/edit?usp=sharing"",""บึงกาฬ!N311"")+IMPORTRANGE(""https://docs.google.com/spreadsheets/d/1MMPq-JyI6DSgQETxuSiXkesP-P7JHuemnE6QJIa-Nlw/edit?usp=sharing"",""บุรีรัมย์!N311"")+IMPORTRANGE(""https://docs.google.com/spreadsheets/d/1l6IZ8xUPgMrESzc"&amp;"TYwhA1k_tPjeQjJPTqlm8Gd9eU5g/edit?usp=sharing"",""มหาสารคาม!N311"")+IMPORTRANGE(""https://docs.google.com/spreadsheets/d/1uB74YLqNjWX6FObjekfB2NtSYigTQyR2rq9u4Ub2Sq4/edit?usp=sharing"",""มุกดาหาร!N311"")+IMPORTRANGE(""https://docs.google.com/spreadsheets/"&amp;"d/1NexK3geCPxCTO1fzNF8dPec7yZyUx3OaWkFBC9HsQOo/edit?usp=sharing"",""ยโสธร!N311"")+IMPORTRANGE(""https://docs.google.com/spreadsheets/d/1v_cJrbBlyqmnHPReHk44g9NrMRdENNlSy_E_c5M9fIg/edit?usp=sharing"",""ร้อยเอ็ด!N311"")+IMPORTRANGE(""https://docs.google.com"&amp;"/spreadsheets/d/1Ul4RCpCX66NxYADU1QpwAPjOmBzW64SsT11s1wzXw_c/edit?usp=sharing"",""เลย!N311"")+IMPORTRANGE(""https://docs.google.com/spreadsheets/d/1bRrNKwbHDVktQG10isr5vbWRtt5spIZPpkOSWgbT5ug/edit?usp=sharing"",""ศรีสะเกษ!N311"")+IMPORTRANGE(""https://doc"&amp;"s.google.com/spreadsheets/d/17P34_Ow5kFBfdQD0qspb2UuPX5zpi6WMrQzslghyvrI/edit?usp=sharing"",""สกลนคร!N311"")+IMPORTRANGE(""https://docs.google.com/spreadsheets/d/1yswqbM3-AEpThF3ZSUa1AcmHnmRTF1vlJ1CZGcJ8YuU/edit?usp=sharing"",""สุรินทร์!N311"")+IMPORTRANG"&amp;"E(""https://docs.google.com/spreadsheets/d/13JHU_EFbsQOUQ0JSQ3dWy1VTRosIWcDq6Nc99z2qzdc/edit?usp=sharing"",""หนองคาย!N311"")+IMPORTRANGE(""https://docs.google.com/spreadsheets/d/1Hx73zIEgVdDZZaYSTc46Dqv64atFhpr3GelxLbaIN8A/edit?usp=sharing"",""หนองบัวลำภู"&amp;"!N311"")+IMPORTRANGE(""https://docs.google.com/spreadsheets/d/1lFxr3ctmjFN90yc-xV6jrQ9Ty8BKYVBWnAZ15wcNIJc/edit?usp=sharing"",""อำนาจเจริญ!N311"")+IMPORTRANGE(""https://docs.google.com/spreadsheets/d/1gF7RJpRnL-1oyjyeWxs5SFWEH7y8ahOZsQlyp2A2e-A/edit?usp=s"&amp;"haring"",""อุดรธานี!N311"")+IMPORTRANGE(""https://docs.google.com/spreadsheets/d/1kfLP0j3INXRa8bTDpcEmoWewMBV61jlFlfzczfjWIgc/edit?usp=sharing"",""อุบลราชธานี!N311"")"),0)</f>
        <v>0</v>
      </c>
      <c r="O311" s="59">
        <f t="shared" ca="1" si="129"/>
        <v>0</v>
      </c>
      <c r="P311" s="59">
        <f t="shared" ca="1" si="130"/>
        <v>0</v>
      </c>
    </row>
    <row r="312" spans="1:16" ht="19.5" x14ac:dyDescent="0.3">
      <c r="A312" s="167"/>
      <c r="B312" s="168"/>
      <c r="C312" s="158" t="s">
        <v>16</v>
      </c>
      <c r="D312" s="169" t="s">
        <v>36</v>
      </c>
      <c r="E312" s="170"/>
      <c r="F312" s="170"/>
      <c r="G312" s="171"/>
      <c r="H312" s="172"/>
      <c r="I312" s="57"/>
      <c r="J312" s="57"/>
      <c r="K312" s="58"/>
      <c r="L312" s="58"/>
      <c r="M312" s="58"/>
      <c r="N312" s="58"/>
      <c r="O312" s="58"/>
      <c r="P312" s="58"/>
    </row>
    <row r="313" spans="1:16" ht="18.75" x14ac:dyDescent="0.25">
      <c r="A313" s="167"/>
      <c r="B313" s="168"/>
      <c r="C313" s="168"/>
      <c r="D313" s="193" t="s">
        <v>121</v>
      </c>
      <c r="E313" s="174"/>
      <c r="F313" s="174"/>
      <c r="G313" s="172"/>
      <c r="H313" s="172"/>
      <c r="I313" s="57"/>
      <c r="J313" s="181">
        <f ca="1">IFERROR(__xludf.DUMMYFUNCTION("IMPORTRANGE(""https://docs.google.com/spreadsheets/d/1yhBcrRPreicbMKl9Bu_Snb2-OcQAF62RKfhTLhJ2eAA/edit?usp=sharing"",""กาฬสินธุ์!J313"")+IMPORTRANGE(""https://docs.google.com/spreadsheets/d/1aHkj4IaQMThhwWwevcOymEh837vdxeC_PycurhTbGFA/edit?usp=sharing"","&amp;"""ขอนแก่น!J313"")+IMPORTRANGE(""https://docs.google.com/spreadsheets/d/1FvTu2DsIWUjP6WCWra38Bkj_oOl_sOMf14r5Fg5srxU/edit?usp=sharing"",""ชัยภูมิ!J313"")+IMPORTRANGE(""https://docs.google.com/spreadsheets/d/1XVB7oCJ3pr-vBUdflwPQ8Z2LlzhnCvZaaYjAfP-647E/edit"&amp;"?usp=sharing"",""นครพนม!J313"")+IMPORTRANGE(""https://docs.google.com/spreadsheets/d/1Mnpb-8PYAgn85W6KOTD40hc_Xc55CaLfHoGAbrZ8tls/edit?usp=sharing"",""นครราชสีมา!J313"")+IMPORTRANGE(""https://docs.google.com/spreadsheets/d/1xoDLGBv9CYbyosIhki0kTq6IpYNj-gp"&amp;"jxfobnaDiut0/edit?usp=sharing"",""บึงกาฬ!J313"")+IMPORTRANGE(""https://docs.google.com/spreadsheets/d/1MMPq-JyI6DSgQETxuSiXkesP-P7JHuemnE6QJIa-Nlw/edit?usp=sharing"",""บุรีรัมย์!J313"")+IMPORTRANGE(""https://docs.google.com/spreadsheets/d/1l6IZ8xUPgMrESzc"&amp;"TYwhA1k_tPjeQjJPTqlm8Gd9eU5g/edit?usp=sharing"",""มหาสารคาม!J313"")+IMPORTRANGE(""https://docs.google.com/spreadsheets/d/1uB74YLqNjWX6FObjekfB2NtSYigTQyR2rq9u4Ub2Sq4/edit?usp=sharing"",""มุกดาหาร!J313"")+IMPORTRANGE(""https://docs.google.com/spreadsheets/"&amp;"d/1NexK3geCPxCTO1fzNF8dPec7yZyUx3OaWkFBC9HsQOo/edit?usp=sharing"",""ยโสธร!J313"")+IMPORTRANGE(""https://docs.google.com/spreadsheets/d/1v_cJrbBlyqmnHPReHk44g9NrMRdENNlSy_E_c5M9fIg/edit?usp=sharing"",""ร้อยเอ็ด!J313"")+IMPORTRANGE(""https://docs.google.com"&amp;"/spreadsheets/d/1Ul4RCpCX66NxYADU1QpwAPjOmBzW64SsT11s1wzXw_c/edit?usp=sharing"",""เลย!J313"")+IMPORTRANGE(""https://docs.google.com/spreadsheets/d/1bRrNKwbHDVktQG10isr5vbWRtt5spIZPpkOSWgbT5ug/edit?usp=sharing"",""ศรีสะเกษ!J313"")+IMPORTRANGE(""https://doc"&amp;"s.google.com/spreadsheets/d/17P34_Ow5kFBfdQD0qspb2UuPX5zpi6WMrQzslghyvrI/edit?usp=sharing"",""สกลนคร!J313"")+IMPORTRANGE(""https://docs.google.com/spreadsheets/d/1yswqbM3-AEpThF3ZSUa1AcmHnmRTF1vlJ1CZGcJ8YuU/edit?usp=sharing"",""สุรินทร์!J313"")+IMPORTRANG"&amp;"E(""https://docs.google.com/spreadsheets/d/13JHU_EFbsQOUQ0JSQ3dWy1VTRosIWcDq6Nc99z2qzdc/edit?usp=sharing"",""หนองคาย!J313"")+IMPORTRANGE(""https://docs.google.com/spreadsheets/d/1Hx73zIEgVdDZZaYSTc46Dqv64atFhpr3GelxLbaIN8A/edit?usp=sharing"",""หนองบัวลำภู"&amp;"!J313"")+IMPORTRANGE(""https://docs.google.com/spreadsheets/d/1lFxr3ctmjFN90yc-xV6jrQ9Ty8BKYVBWnAZ15wcNIJc/edit?usp=sharing"",""อำนาจเจริญ!J313"")+IMPORTRANGE(""https://docs.google.com/spreadsheets/d/1gF7RJpRnL-1oyjyeWxs5SFWEH7y8ahOZsQlyp2A2e-A/edit?usp=s"&amp;"haring"",""อุดรธานี!J313"")+IMPORTRANGE(""https://docs.google.com/spreadsheets/d/1kfLP0j3INXRa8bTDpcEmoWewMBV61jlFlfzczfjWIgc/edit?usp=sharing"",""อุบลราชธานี!J313"")"),0)</f>
        <v>0</v>
      </c>
      <c r="K313" s="58"/>
      <c r="L313" s="58"/>
      <c r="M313" s="58"/>
      <c r="N313" s="58"/>
      <c r="O313" s="58"/>
      <c r="P313" s="58"/>
    </row>
    <row r="314" spans="1:16" ht="18.75" x14ac:dyDescent="0.25">
      <c r="A314" s="167"/>
      <c r="B314" s="168"/>
      <c r="C314" s="168"/>
      <c r="D314" s="178" t="s">
        <v>114</v>
      </c>
      <c r="E314" s="174"/>
      <c r="F314" s="174"/>
      <c r="G314" s="172"/>
      <c r="H314" s="179" t="s">
        <v>33</v>
      </c>
      <c r="I314" s="194">
        <f ca="1">IFERROR(__xludf.DUMMYFUNCTION("IMPORTRANGE(""https://docs.google.com/spreadsheets/d/1yhBcrRPreicbMKl9Bu_Snb2-OcQAF62RKfhTLhJ2eAA/edit?usp=sharing"",""กาฬสินธุ์!I314"")+IMPORTRANGE(""https://docs.google.com/spreadsheets/d/1aHkj4IaQMThhwWwevcOymEh837vdxeC_PycurhTbGFA/edit?usp=sharing"","&amp;"""ขอนแก่น!I314"")+IMPORTRANGE(""https://docs.google.com/spreadsheets/d/1FvTu2DsIWUjP6WCWra38Bkj_oOl_sOMf14r5Fg5srxU/edit?usp=sharing"",""ชัยภูมิ!I314"")+IMPORTRANGE(""https://docs.google.com/spreadsheets/d/1XVB7oCJ3pr-vBUdflwPQ8Z2LlzhnCvZaaYjAfP-647E/edit"&amp;"?usp=sharing"",""นครพนม!I314"")+IMPORTRANGE(""https://docs.google.com/spreadsheets/d/1Mnpb-8PYAgn85W6KOTD40hc_Xc55CaLfHoGAbrZ8tls/edit?usp=sharing"",""นครราชสีมา!I314"")+IMPORTRANGE(""https://docs.google.com/spreadsheets/d/1xoDLGBv9CYbyosIhki0kTq6IpYNj-gp"&amp;"jxfobnaDiut0/edit?usp=sharing"",""บึงกาฬ!I314"")+IMPORTRANGE(""https://docs.google.com/spreadsheets/d/1MMPq-JyI6DSgQETxuSiXkesP-P7JHuemnE6QJIa-Nlw/edit?usp=sharing"",""บุรีรัมย์!I314"")+IMPORTRANGE(""https://docs.google.com/spreadsheets/d/1l6IZ8xUPgMrESzc"&amp;"TYwhA1k_tPjeQjJPTqlm8Gd9eU5g/edit?usp=sharing"",""มหาสารคาม!I314"")+IMPORTRANGE(""https://docs.google.com/spreadsheets/d/1uB74YLqNjWX6FObjekfB2NtSYigTQyR2rq9u4Ub2Sq4/edit?usp=sharing"",""มุกดาหาร!I314"")+IMPORTRANGE(""https://docs.google.com/spreadsheets/"&amp;"d/1NexK3geCPxCTO1fzNF8dPec7yZyUx3OaWkFBC9HsQOo/edit?usp=sharing"",""ยโสธร!I314"")+IMPORTRANGE(""https://docs.google.com/spreadsheets/d/1v_cJrbBlyqmnHPReHk44g9NrMRdENNlSy_E_c5M9fIg/edit?usp=sharing"",""ร้อยเอ็ด!I314"")+IMPORTRANGE(""https://docs.google.com"&amp;"/spreadsheets/d/1Ul4RCpCX66NxYADU1QpwAPjOmBzW64SsT11s1wzXw_c/edit?usp=sharing"",""เลย!I314"")+IMPORTRANGE(""https://docs.google.com/spreadsheets/d/1bRrNKwbHDVktQG10isr5vbWRtt5spIZPpkOSWgbT5ug/edit?usp=sharing"",""ศรีสะเกษ!I314"")+IMPORTRANGE(""https://doc"&amp;"s.google.com/spreadsheets/d/17P34_Ow5kFBfdQD0qspb2UuPX5zpi6WMrQzslghyvrI/edit?usp=sharing"",""สกลนคร!I314"")+IMPORTRANGE(""https://docs.google.com/spreadsheets/d/1yswqbM3-AEpThF3ZSUa1AcmHnmRTF1vlJ1CZGcJ8YuU/edit?usp=sharing"",""สุรินทร์!I314"")+IMPORTRANG"&amp;"E(""https://docs.google.com/spreadsheets/d/13JHU_EFbsQOUQ0JSQ3dWy1VTRosIWcDq6Nc99z2qzdc/edit?usp=sharing"",""หนองคาย!I314"")+IMPORTRANGE(""https://docs.google.com/spreadsheets/d/1Hx73zIEgVdDZZaYSTc46Dqv64atFhpr3GelxLbaIN8A/edit?usp=sharing"",""หนองบัวลำภู"&amp;"!I314"")+IMPORTRANGE(""https://docs.google.com/spreadsheets/d/1lFxr3ctmjFN90yc-xV6jrQ9Ty8BKYVBWnAZ15wcNIJc/edit?usp=sharing"",""อำนาจเจริญ!I314"")+IMPORTRANGE(""https://docs.google.com/spreadsheets/d/1gF7RJpRnL-1oyjyeWxs5SFWEH7y8ahOZsQlyp2A2e-A/edit?usp=s"&amp;"haring"",""อุดรธานี!I314"")+IMPORTRANGE(""https://docs.google.com/spreadsheets/d/1kfLP0j3INXRa8bTDpcEmoWewMBV61jlFlfzczfjWIgc/edit?usp=sharing"",""อุบลราชธานี!I314"")"),145)</f>
        <v>145</v>
      </c>
      <c r="J314" s="181">
        <f ca="1">IFERROR(__xludf.DUMMYFUNCTION("IMPORTRANGE(""https://docs.google.com/spreadsheets/d/1yhBcrRPreicbMKl9Bu_Snb2-OcQAF62RKfhTLhJ2eAA/edit?usp=sharing"",""กาฬสินธุ์!J314"")+IMPORTRANGE(""https://docs.google.com/spreadsheets/d/1aHkj4IaQMThhwWwevcOymEh837vdxeC_PycurhTbGFA/edit?usp=sharing"","&amp;"""ขอนแก่น!J314"")+IMPORTRANGE(""https://docs.google.com/spreadsheets/d/1FvTu2DsIWUjP6WCWra38Bkj_oOl_sOMf14r5Fg5srxU/edit?usp=sharing"",""ชัยภูมิ!J314"")+IMPORTRANGE(""https://docs.google.com/spreadsheets/d/1XVB7oCJ3pr-vBUdflwPQ8Z2LlzhnCvZaaYjAfP-647E/edit"&amp;"?usp=sharing"",""นครพนม!J314"")+IMPORTRANGE(""https://docs.google.com/spreadsheets/d/1Mnpb-8PYAgn85W6KOTD40hc_Xc55CaLfHoGAbrZ8tls/edit?usp=sharing"",""นครราชสีมา!J314"")+IMPORTRANGE(""https://docs.google.com/spreadsheets/d/1xoDLGBv9CYbyosIhki0kTq6IpYNj-gp"&amp;"jxfobnaDiut0/edit?usp=sharing"",""บึงกาฬ!J314"")+IMPORTRANGE(""https://docs.google.com/spreadsheets/d/1MMPq-JyI6DSgQETxuSiXkesP-P7JHuemnE6QJIa-Nlw/edit?usp=sharing"",""บุรีรัมย์!J314"")+IMPORTRANGE(""https://docs.google.com/spreadsheets/d/1l6IZ8xUPgMrESzc"&amp;"TYwhA1k_tPjeQjJPTqlm8Gd9eU5g/edit?usp=sharing"",""มหาสารคาม!J314"")+IMPORTRANGE(""https://docs.google.com/spreadsheets/d/1uB74YLqNjWX6FObjekfB2NtSYigTQyR2rq9u4Ub2Sq4/edit?usp=sharing"",""มุกดาหาร!J314"")+IMPORTRANGE(""https://docs.google.com/spreadsheets/"&amp;"d/1NexK3geCPxCTO1fzNF8dPec7yZyUx3OaWkFBC9HsQOo/edit?usp=sharing"",""ยโสธร!J314"")+IMPORTRANGE(""https://docs.google.com/spreadsheets/d/1v_cJrbBlyqmnHPReHk44g9NrMRdENNlSy_E_c5M9fIg/edit?usp=sharing"",""ร้อยเอ็ด!J314"")+IMPORTRANGE(""https://docs.google.com"&amp;"/spreadsheets/d/1Ul4RCpCX66NxYADU1QpwAPjOmBzW64SsT11s1wzXw_c/edit?usp=sharing"",""เลย!J314"")+IMPORTRANGE(""https://docs.google.com/spreadsheets/d/1bRrNKwbHDVktQG10isr5vbWRtt5spIZPpkOSWgbT5ug/edit?usp=sharing"",""ศรีสะเกษ!J314"")+IMPORTRANGE(""https://doc"&amp;"s.google.com/spreadsheets/d/17P34_Ow5kFBfdQD0qspb2UuPX5zpi6WMrQzslghyvrI/edit?usp=sharing"",""สกลนคร!J314"")+IMPORTRANGE(""https://docs.google.com/spreadsheets/d/1yswqbM3-AEpThF3ZSUa1AcmHnmRTF1vlJ1CZGcJ8YuU/edit?usp=sharing"",""สุรินทร์!J314"")+IMPORTRANG"&amp;"E(""https://docs.google.com/spreadsheets/d/13JHU_EFbsQOUQ0JSQ3dWy1VTRosIWcDq6Nc99z2qzdc/edit?usp=sharing"",""หนองคาย!J314"")+IMPORTRANGE(""https://docs.google.com/spreadsheets/d/1Hx73zIEgVdDZZaYSTc46Dqv64atFhpr3GelxLbaIN8A/edit?usp=sharing"",""หนองบัวลำภู"&amp;"!J314"")+IMPORTRANGE(""https://docs.google.com/spreadsheets/d/1lFxr3ctmjFN90yc-xV6jrQ9Ty8BKYVBWnAZ15wcNIJc/edit?usp=sharing"",""อำนาจเจริญ!J314"")+IMPORTRANGE(""https://docs.google.com/spreadsheets/d/1gF7RJpRnL-1oyjyeWxs5SFWEH7y8ahOZsQlyp2A2e-A/edit?usp=s"&amp;"haring"",""อุดรธานี!J314"")+IMPORTRANGE(""https://docs.google.com/spreadsheets/d/1kfLP0j3INXRa8bTDpcEmoWewMBV61jlFlfzczfjWIgc/edit?usp=sharing"",""อุบลราชธานี!J314"")"),0)</f>
        <v>0</v>
      </c>
      <c r="K314" s="59">
        <f t="shared" ref="K314:K317" ca="1" si="135">IF(I314&gt;0,J314*100/I314,0)</f>
        <v>0</v>
      </c>
      <c r="L314" s="58"/>
      <c r="M314" s="58"/>
      <c r="N314" s="58"/>
      <c r="O314" s="58"/>
      <c r="P314" s="58"/>
    </row>
    <row r="315" spans="1:16" ht="18.75" x14ac:dyDescent="0.25">
      <c r="A315" s="167"/>
      <c r="B315" s="168"/>
      <c r="C315" s="168"/>
      <c r="D315" s="178" t="s">
        <v>122</v>
      </c>
      <c r="E315" s="174"/>
      <c r="F315" s="174"/>
      <c r="G315" s="172"/>
      <c r="H315" s="179" t="s">
        <v>33</v>
      </c>
      <c r="I315" s="194">
        <f ca="1">IFERROR(__xludf.DUMMYFUNCTION("IMPORTRANGE(""https://docs.google.com/spreadsheets/d/1yhBcrRPreicbMKl9Bu_Snb2-OcQAF62RKfhTLhJ2eAA/edit?usp=sharing"",""กาฬสินธุ์!I315"")+IMPORTRANGE(""https://docs.google.com/spreadsheets/d/1aHkj4IaQMThhwWwevcOymEh837vdxeC_PycurhTbGFA/edit?usp=sharing"","&amp;"""ขอนแก่น!I315"")+IMPORTRANGE(""https://docs.google.com/spreadsheets/d/1FvTu2DsIWUjP6WCWra38Bkj_oOl_sOMf14r5Fg5srxU/edit?usp=sharing"",""ชัยภูมิ!I315"")+IMPORTRANGE(""https://docs.google.com/spreadsheets/d/1XVB7oCJ3pr-vBUdflwPQ8Z2LlzhnCvZaaYjAfP-647E/edit"&amp;"?usp=sharing"",""นครพนม!I315"")+IMPORTRANGE(""https://docs.google.com/spreadsheets/d/1Mnpb-8PYAgn85W6KOTD40hc_Xc55CaLfHoGAbrZ8tls/edit?usp=sharing"",""นครราชสีมา!I315"")+IMPORTRANGE(""https://docs.google.com/spreadsheets/d/1xoDLGBv9CYbyosIhki0kTq6IpYNj-gp"&amp;"jxfobnaDiut0/edit?usp=sharing"",""บึงกาฬ!I315"")+IMPORTRANGE(""https://docs.google.com/spreadsheets/d/1MMPq-JyI6DSgQETxuSiXkesP-P7JHuemnE6QJIa-Nlw/edit?usp=sharing"",""บุรีรัมย์!I315"")+IMPORTRANGE(""https://docs.google.com/spreadsheets/d/1l6IZ8xUPgMrESzc"&amp;"TYwhA1k_tPjeQjJPTqlm8Gd9eU5g/edit?usp=sharing"",""มหาสารคาม!I315"")+IMPORTRANGE(""https://docs.google.com/spreadsheets/d/1uB74YLqNjWX6FObjekfB2NtSYigTQyR2rq9u4Ub2Sq4/edit?usp=sharing"",""มุกดาหาร!I315"")+IMPORTRANGE(""https://docs.google.com/spreadsheets/"&amp;"d/1NexK3geCPxCTO1fzNF8dPec7yZyUx3OaWkFBC9HsQOo/edit?usp=sharing"",""ยโสธร!I315"")+IMPORTRANGE(""https://docs.google.com/spreadsheets/d/1v_cJrbBlyqmnHPReHk44g9NrMRdENNlSy_E_c5M9fIg/edit?usp=sharing"",""ร้อยเอ็ด!I315"")+IMPORTRANGE(""https://docs.google.com"&amp;"/spreadsheets/d/1Ul4RCpCX66NxYADU1QpwAPjOmBzW64SsT11s1wzXw_c/edit?usp=sharing"",""เลย!I315"")+IMPORTRANGE(""https://docs.google.com/spreadsheets/d/1bRrNKwbHDVktQG10isr5vbWRtt5spIZPpkOSWgbT5ug/edit?usp=sharing"",""ศรีสะเกษ!I315"")+IMPORTRANGE(""https://doc"&amp;"s.google.com/spreadsheets/d/17P34_Ow5kFBfdQD0qspb2UuPX5zpi6WMrQzslghyvrI/edit?usp=sharing"",""สกลนคร!I315"")+IMPORTRANGE(""https://docs.google.com/spreadsheets/d/1yswqbM3-AEpThF3ZSUa1AcmHnmRTF1vlJ1CZGcJ8YuU/edit?usp=sharing"",""สุรินทร์!I315"")+IMPORTRANG"&amp;"E(""https://docs.google.com/spreadsheets/d/13JHU_EFbsQOUQ0JSQ3dWy1VTRosIWcDq6Nc99z2qzdc/edit?usp=sharing"",""หนองคาย!I315"")+IMPORTRANGE(""https://docs.google.com/spreadsheets/d/1Hx73zIEgVdDZZaYSTc46Dqv64atFhpr3GelxLbaIN8A/edit?usp=sharing"",""หนองบัวลำภู"&amp;"!I315"")+IMPORTRANGE(""https://docs.google.com/spreadsheets/d/1lFxr3ctmjFN90yc-xV6jrQ9Ty8BKYVBWnAZ15wcNIJc/edit?usp=sharing"",""อำนาจเจริญ!I315"")+IMPORTRANGE(""https://docs.google.com/spreadsheets/d/1gF7RJpRnL-1oyjyeWxs5SFWEH7y8ahOZsQlyp2A2e-A/edit?usp=s"&amp;"haring"",""อุดรธานี!I315"")+IMPORTRANGE(""https://docs.google.com/spreadsheets/d/1kfLP0j3INXRa8bTDpcEmoWewMBV61jlFlfzczfjWIgc/edit?usp=sharing"",""อุบลราชธานี!I315"")"),29)</f>
        <v>29</v>
      </c>
      <c r="J315" s="181">
        <f ca="1">IFERROR(__xludf.DUMMYFUNCTION("IMPORTRANGE(""https://docs.google.com/spreadsheets/d/1yhBcrRPreicbMKl9Bu_Snb2-OcQAF62RKfhTLhJ2eAA/edit?usp=sharing"",""กาฬสินธุ์!J315"")+IMPORTRANGE(""https://docs.google.com/spreadsheets/d/1aHkj4IaQMThhwWwevcOymEh837vdxeC_PycurhTbGFA/edit?usp=sharing"","&amp;"""ขอนแก่น!J315"")+IMPORTRANGE(""https://docs.google.com/spreadsheets/d/1FvTu2DsIWUjP6WCWra38Bkj_oOl_sOMf14r5Fg5srxU/edit?usp=sharing"",""ชัยภูมิ!J315"")+IMPORTRANGE(""https://docs.google.com/spreadsheets/d/1XVB7oCJ3pr-vBUdflwPQ8Z2LlzhnCvZaaYjAfP-647E/edit"&amp;"?usp=sharing"",""นครพนม!J315"")+IMPORTRANGE(""https://docs.google.com/spreadsheets/d/1Mnpb-8PYAgn85W6KOTD40hc_Xc55CaLfHoGAbrZ8tls/edit?usp=sharing"",""นครราชสีมา!J315"")+IMPORTRANGE(""https://docs.google.com/spreadsheets/d/1xoDLGBv9CYbyosIhki0kTq6IpYNj-gp"&amp;"jxfobnaDiut0/edit?usp=sharing"",""บึงกาฬ!J315"")+IMPORTRANGE(""https://docs.google.com/spreadsheets/d/1MMPq-JyI6DSgQETxuSiXkesP-P7JHuemnE6QJIa-Nlw/edit?usp=sharing"",""บุรีรัมย์!J315"")+IMPORTRANGE(""https://docs.google.com/spreadsheets/d/1l6IZ8xUPgMrESzc"&amp;"TYwhA1k_tPjeQjJPTqlm8Gd9eU5g/edit?usp=sharing"",""มหาสารคาม!J315"")+IMPORTRANGE(""https://docs.google.com/spreadsheets/d/1uB74YLqNjWX6FObjekfB2NtSYigTQyR2rq9u4Ub2Sq4/edit?usp=sharing"",""มุกดาหาร!J315"")+IMPORTRANGE(""https://docs.google.com/spreadsheets/"&amp;"d/1NexK3geCPxCTO1fzNF8dPec7yZyUx3OaWkFBC9HsQOo/edit?usp=sharing"",""ยโสธร!J315"")+IMPORTRANGE(""https://docs.google.com/spreadsheets/d/1v_cJrbBlyqmnHPReHk44g9NrMRdENNlSy_E_c5M9fIg/edit?usp=sharing"",""ร้อยเอ็ด!J315"")+IMPORTRANGE(""https://docs.google.com"&amp;"/spreadsheets/d/1Ul4RCpCX66NxYADU1QpwAPjOmBzW64SsT11s1wzXw_c/edit?usp=sharing"",""เลย!J315"")+IMPORTRANGE(""https://docs.google.com/spreadsheets/d/1bRrNKwbHDVktQG10isr5vbWRtt5spIZPpkOSWgbT5ug/edit?usp=sharing"",""ศรีสะเกษ!J315"")+IMPORTRANGE(""https://doc"&amp;"s.google.com/spreadsheets/d/17P34_Ow5kFBfdQD0qspb2UuPX5zpi6WMrQzslghyvrI/edit?usp=sharing"",""สกลนคร!J315"")+IMPORTRANGE(""https://docs.google.com/spreadsheets/d/1yswqbM3-AEpThF3ZSUa1AcmHnmRTF1vlJ1CZGcJ8YuU/edit?usp=sharing"",""สุรินทร์!J315"")+IMPORTRANG"&amp;"E(""https://docs.google.com/spreadsheets/d/13JHU_EFbsQOUQ0JSQ3dWy1VTRosIWcDq6Nc99z2qzdc/edit?usp=sharing"",""หนองคาย!J315"")+IMPORTRANGE(""https://docs.google.com/spreadsheets/d/1Hx73zIEgVdDZZaYSTc46Dqv64atFhpr3GelxLbaIN8A/edit?usp=sharing"",""หนองบัวลำภู"&amp;"!J315"")+IMPORTRANGE(""https://docs.google.com/spreadsheets/d/1lFxr3ctmjFN90yc-xV6jrQ9Ty8BKYVBWnAZ15wcNIJc/edit?usp=sharing"",""อำนาจเจริญ!J315"")+IMPORTRANGE(""https://docs.google.com/spreadsheets/d/1gF7RJpRnL-1oyjyeWxs5SFWEH7y8ahOZsQlyp2A2e-A/edit?usp=s"&amp;"haring"",""อุดรธานี!J315"")+IMPORTRANGE(""https://docs.google.com/spreadsheets/d/1kfLP0j3INXRa8bTDpcEmoWewMBV61jlFlfzczfjWIgc/edit?usp=sharing"",""อุบลราชธานี!J315"")"),0)</f>
        <v>0</v>
      </c>
      <c r="K315" s="59">
        <f t="shared" ca="1" si="135"/>
        <v>0</v>
      </c>
      <c r="L315" s="58"/>
      <c r="M315" s="58"/>
      <c r="N315" s="58"/>
      <c r="O315" s="58"/>
      <c r="P315" s="58"/>
    </row>
    <row r="316" spans="1:16" ht="18.75" x14ac:dyDescent="0.25">
      <c r="A316" s="167"/>
      <c r="B316" s="168"/>
      <c r="C316" s="168"/>
      <c r="D316" s="193" t="s">
        <v>48</v>
      </c>
      <c r="E316" s="174"/>
      <c r="F316" s="174"/>
      <c r="G316" s="172"/>
      <c r="H316" s="179" t="s">
        <v>33</v>
      </c>
      <c r="I316" s="194">
        <f ca="1">IFERROR(__xludf.DUMMYFUNCTION("IMPORTRANGE(""https://docs.google.com/spreadsheets/d/1yhBcrRPreicbMKl9Bu_Snb2-OcQAF62RKfhTLhJ2eAA/edit?usp=sharing"",""กาฬสินธุ์!I316"")+IMPORTRANGE(""https://docs.google.com/spreadsheets/d/1aHkj4IaQMThhwWwevcOymEh837vdxeC_PycurhTbGFA/edit?usp=sharing"","&amp;"""ขอนแก่น!I316"")+IMPORTRANGE(""https://docs.google.com/spreadsheets/d/1FvTu2DsIWUjP6WCWra38Bkj_oOl_sOMf14r5Fg5srxU/edit?usp=sharing"",""ชัยภูมิ!I316"")+IMPORTRANGE(""https://docs.google.com/spreadsheets/d/1XVB7oCJ3pr-vBUdflwPQ8Z2LlzhnCvZaaYjAfP-647E/edit"&amp;"?usp=sharing"",""นครพนม!I316"")+IMPORTRANGE(""https://docs.google.com/spreadsheets/d/1Mnpb-8PYAgn85W6KOTD40hc_Xc55CaLfHoGAbrZ8tls/edit?usp=sharing"",""นครราชสีมา!I316"")+IMPORTRANGE(""https://docs.google.com/spreadsheets/d/1xoDLGBv9CYbyosIhki0kTq6IpYNj-gp"&amp;"jxfobnaDiut0/edit?usp=sharing"",""บึงกาฬ!I316"")+IMPORTRANGE(""https://docs.google.com/spreadsheets/d/1MMPq-JyI6DSgQETxuSiXkesP-P7JHuemnE6QJIa-Nlw/edit?usp=sharing"",""บุรีรัมย์!I316"")+IMPORTRANGE(""https://docs.google.com/spreadsheets/d/1l6IZ8xUPgMrESzc"&amp;"TYwhA1k_tPjeQjJPTqlm8Gd9eU5g/edit?usp=sharing"",""มหาสารคาม!I316"")+IMPORTRANGE(""https://docs.google.com/spreadsheets/d/1uB74YLqNjWX6FObjekfB2NtSYigTQyR2rq9u4Ub2Sq4/edit?usp=sharing"",""มุกดาหาร!I316"")+IMPORTRANGE(""https://docs.google.com/spreadsheets/"&amp;"d/1NexK3geCPxCTO1fzNF8dPec7yZyUx3OaWkFBC9HsQOo/edit?usp=sharing"",""ยโสธร!I316"")+IMPORTRANGE(""https://docs.google.com/spreadsheets/d/1v_cJrbBlyqmnHPReHk44g9NrMRdENNlSy_E_c5M9fIg/edit?usp=sharing"",""ร้อยเอ็ด!I316"")+IMPORTRANGE(""https://docs.google.com"&amp;"/spreadsheets/d/1Ul4RCpCX66NxYADU1QpwAPjOmBzW64SsT11s1wzXw_c/edit?usp=sharing"",""เลย!I316"")+IMPORTRANGE(""https://docs.google.com/spreadsheets/d/1bRrNKwbHDVktQG10isr5vbWRtt5spIZPpkOSWgbT5ug/edit?usp=sharing"",""ศรีสะเกษ!I316"")+IMPORTRANGE(""https://doc"&amp;"s.google.com/spreadsheets/d/17P34_Ow5kFBfdQD0qspb2UuPX5zpi6WMrQzslghyvrI/edit?usp=sharing"",""สกลนคร!I316"")+IMPORTRANGE(""https://docs.google.com/spreadsheets/d/1yswqbM3-AEpThF3ZSUa1AcmHnmRTF1vlJ1CZGcJ8YuU/edit?usp=sharing"",""สุรินทร์!I316"")+IMPORTRANG"&amp;"E(""https://docs.google.com/spreadsheets/d/13JHU_EFbsQOUQ0JSQ3dWy1VTRosIWcDq6Nc99z2qzdc/edit?usp=sharing"",""หนองคาย!I316"")+IMPORTRANGE(""https://docs.google.com/spreadsheets/d/1Hx73zIEgVdDZZaYSTc46Dqv64atFhpr3GelxLbaIN8A/edit?usp=sharing"",""หนองบัวลำภู"&amp;"!I316"")+IMPORTRANGE(""https://docs.google.com/spreadsheets/d/1lFxr3ctmjFN90yc-xV6jrQ9Ty8BKYVBWnAZ15wcNIJc/edit?usp=sharing"",""อำนาจเจริญ!I316"")+IMPORTRANGE(""https://docs.google.com/spreadsheets/d/1gF7RJpRnL-1oyjyeWxs5SFWEH7y8ahOZsQlyp2A2e-A/edit?usp=s"&amp;"haring"",""อุดรธานี!I316"")+IMPORTRANGE(""https://docs.google.com/spreadsheets/d/1kfLP0j3INXRa8bTDpcEmoWewMBV61jlFlfzczfjWIgc/edit?usp=sharing"",""อุบลราชธานี!I316"")"),145)</f>
        <v>145</v>
      </c>
      <c r="J316" s="181">
        <f ca="1">IFERROR(__xludf.DUMMYFUNCTION("IMPORTRANGE(""https://docs.google.com/spreadsheets/d/1yhBcrRPreicbMKl9Bu_Snb2-OcQAF62RKfhTLhJ2eAA/edit?usp=sharing"",""กาฬสินธุ์!J316"")+IMPORTRANGE(""https://docs.google.com/spreadsheets/d/1aHkj4IaQMThhwWwevcOymEh837vdxeC_PycurhTbGFA/edit?usp=sharing"","&amp;"""ขอนแก่น!J316"")+IMPORTRANGE(""https://docs.google.com/spreadsheets/d/1FvTu2DsIWUjP6WCWra38Bkj_oOl_sOMf14r5Fg5srxU/edit?usp=sharing"",""ชัยภูมิ!J316"")+IMPORTRANGE(""https://docs.google.com/spreadsheets/d/1XVB7oCJ3pr-vBUdflwPQ8Z2LlzhnCvZaaYjAfP-647E/edit"&amp;"?usp=sharing"",""นครพนม!J316"")+IMPORTRANGE(""https://docs.google.com/spreadsheets/d/1Mnpb-8PYAgn85W6KOTD40hc_Xc55CaLfHoGAbrZ8tls/edit?usp=sharing"",""นครราชสีมา!J316"")+IMPORTRANGE(""https://docs.google.com/spreadsheets/d/1xoDLGBv9CYbyosIhki0kTq6IpYNj-gp"&amp;"jxfobnaDiut0/edit?usp=sharing"",""บึงกาฬ!J316"")+IMPORTRANGE(""https://docs.google.com/spreadsheets/d/1MMPq-JyI6DSgQETxuSiXkesP-P7JHuemnE6QJIa-Nlw/edit?usp=sharing"",""บุรีรัมย์!J316"")+IMPORTRANGE(""https://docs.google.com/spreadsheets/d/1l6IZ8xUPgMrESzc"&amp;"TYwhA1k_tPjeQjJPTqlm8Gd9eU5g/edit?usp=sharing"",""มหาสารคาม!J316"")+IMPORTRANGE(""https://docs.google.com/spreadsheets/d/1uB74YLqNjWX6FObjekfB2NtSYigTQyR2rq9u4Ub2Sq4/edit?usp=sharing"",""มุกดาหาร!J316"")+IMPORTRANGE(""https://docs.google.com/spreadsheets/"&amp;"d/1NexK3geCPxCTO1fzNF8dPec7yZyUx3OaWkFBC9HsQOo/edit?usp=sharing"",""ยโสธร!J316"")+IMPORTRANGE(""https://docs.google.com/spreadsheets/d/1v_cJrbBlyqmnHPReHk44g9NrMRdENNlSy_E_c5M9fIg/edit?usp=sharing"",""ร้อยเอ็ด!J316"")+IMPORTRANGE(""https://docs.google.com"&amp;"/spreadsheets/d/1Ul4RCpCX66NxYADU1QpwAPjOmBzW64SsT11s1wzXw_c/edit?usp=sharing"",""เลย!J316"")+IMPORTRANGE(""https://docs.google.com/spreadsheets/d/1bRrNKwbHDVktQG10isr5vbWRtt5spIZPpkOSWgbT5ug/edit?usp=sharing"",""ศรีสะเกษ!J316"")+IMPORTRANGE(""https://doc"&amp;"s.google.com/spreadsheets/d/17P34_Ow5kFBfdQD0qspb2UuPX5zpi6WMrQzslghyvrI/edit?usp=sharing"",""สกลนคร!J316"")+IMPORTRANGE(""https://docs.google.com/spreadsheets/d/1yswqbM3-AEpThF3ZSUa1AcmHnmRTF1vlJ1CZGcJ8YuU/edit?usp=sharing"",""สุรินทร์!J316"")+IMPORTRANG"&amp;"E(""https://docs.google.com/spreadsheets/d/13JHU_EFbsQOUQ0JSQ3dWy1VTRosIWcDq6Nc99z2qzdc/edit?usp=sharing"",""หนองคาย!J316"")+IMPORTRANGE(""https://docs.google.com/spreadsheets/d/1Hx73zIEgVdDZZaYSTc46Dqv64atFhpr3GelxLbaIN8A/edit?usp=sharing"",""หนองบัวลำภู"&amp;"!J316"")+IMPORTRANGE(""https://docs.google.com/spreadsheets/d/1lFxr3ctmjFN90yc-xV6jrQ9Ty8BKYVBWnAZ15wcNIJc/edit?usp=sharing"",""อำนาจเจริญ!J316"")+IMPORTRANGE(""https://docs.google.com/spreadsheets/d/1gF7RJpRnL-1oyjyeWxs5SFWEH7y8ahOZsQlyp2A2e-A/edit?usp=s"&amp;"haring"",""อุดรธานี!J316"")+IMPORTRANGE(""https://docs.google.com/spreadsheets/d/1kfLP0j3INXRa8bTDpcEmoWewMBV61jlFlfzczfjWIgc/edit?usp=sharing"",""อุบลราชธานี!J316"")"),0)</f>
        <v>0</v>
      </c>
      <c r="K316" s="59">
        <f t="shared" ca="1" si="135"/>
        <v>0</v>
      </c>
      <c r="L316" s="58"/>
      <c r="M316" s="58"/>
      <c r="N316" s="58"/>
      <c r="O316" s="58"/>
      <c r="P316" s="58"/>
    </row>
    <row r="317" spans="1:16" ht="18.75" x14ac:dyDescent="0.25">
      <c r="A317" s="274"/>
      <c r="B317" s="278"/>
      <c r="C317" s="278"/>
      <c r="D317" s="60" t="s">
        <v>123</v>
      </c>
      <c r="E317" s="53"/>
      <c r="F317" s="53"/>
      <c r="G317" s="55"/>
      <c r="H317" s="56" t="s">
        <v>33</v>
      </c>
      <c r="I317" s="194">
        <f ca="1">IFERROR(__xludf.DUMMYFUNCTION("IMPORTRANGE(""https://docs.google.com/spreadsheets/d/1yhBcrRPreicbMKl9Bu_Snb2-OcQAF62RKfhTLhJ2eAA/edit?usp=sharing"",""กาฬสินธุ์!I317"")+IMPORTRANGE(""https://docs.google.com/spreadsheets/d/1aHkj4IaQMThhwWwevcOymEh837vdxeC_PycurhTbGFA/edit?usp=sharing"","&amp;"""ขอนแก่น!I317"")+IMPORTRANGE(""https://docs.google.com/spreadsheets/d/1FvTu2DsIWUjP6WCWra38Bkj_oOl_sOMf14r5Fg5srxU/edit?usp=sharing"",""ชัยภูมิ!I317"")+IMPORTRANGE(""https://docs.google.com/spreadsheets/d/1XVB7oCJ3pr-vBUdflwPQ8Z2LlzhnCvZaaYjAfP-647E/edit"&amp;"?usp=sharing"",""นครพนม!I317"")+IMPORTRANGE(""https://docs.google.com/spreadsheets/d/1Mnpb-8PYAgn85W6KOTD40hc_Xc55CaLfHoGAbrZ8tls/edit?usp=sharing"",""นครราชสีมา!I317"")+IMPORTRANGE(""https://docs.google.com/spreadsheets/d/1xoDLGBv9CYbyosIhki0kTq6IpYNj-gp"&amp;"jxfobnaDiut0/edit?usp=sharing"",""บึงกาฬ!I317"")+IMPORTRANGE(""https://docs.google.com/spreadsheets/d/1MMPq-JyI6DSgQETxuSiXkesP-P7JHuemnE6QJIa-Nlw/edit?usp=sharing"",""บุรีรัมย์!I317"")+IMPORTRANGE(""https://docs.google.com/spreadsheets/d/1l6IZ8xUPgMrESzc"&amp;"TYwhA1k_tPjeQjJPTqlm8Gd9eU5g/edit?usp=sharing"",""มหาสารคาม!I317"")+IMPORTRANGE(""https://docs.google.com/spreadsheets/d/1uB74YLqNjWX6FObjekfB2NtSYigTQyR2rq9u4Ub2Sq4/edit?usp=sharing"",""มุกดาหาร!I317"")+IMPORTRANGE(""https://docs.google.com/spreadsheets/"&amp;"d/1NexK3geCPxCTO1fzNF8dPec7yZyUx3OaWkFBC9HsQOo/edit?usp=sharing"",""ยโสธร!I317"")+IMPORTRANGE(""https://docs.google.com/spreadsheets/d/1v_cJrbBlyqmnHPReHk44g9NrMRdENNlSy_E_c5M9fIg/edit?usp=sharing"",""ร้อยเอ็ด!I317"")+IMPORTRANGE(""https://docs.google.com"&amp;"/spreadsheets/d/1Ul4RCpCX66NxYADU1QpwAPjOmBzW64SsT11s1wzXw_c/edit?usp=sharing"",""เลย!I317"")+IMPORTRANGE(""https://docs.google.com/spreadsheets/d/1bRrNKwbHDVktQG10isr5vbWRtt5spIZPpkOSWgbT5ug/edit?usp=sharing"",""ศรีสะเกษ!I317"")+IMPORTRANGE(""https://doc"&amp;"s.google.com/spreadsheets/d/17P34_Ow5kFBfdQD0qspb2UuPX5zpi6WMrQzslghyvrI/edit?usp=sharing"",""สกลนคร!I317"")+IMPORTRANGE(""https://docs.google.com/spreadsheets/d/1yswqbM3-AEpThF3ZSUa1AcmHnmRTF1vlJ1CZGcJ8YuU/edit?usp=sharing"",""สุรินทร์!I317"")+IMPORTRANG"&amp;"E(""https://docs.google.com/spreadsheets/d/13JHU_EFbsQOUQ0JSQ3dWy1VTRosIWcDq6Nc99z2qzdc/edit?usp=sharing"",""หนองคาย!I317"")+IMPORTRANGE(""https://docs.google.com/spreadsheets/d/1Hx73zIEgVdDZZaYSTc46Dqv64atFhpr3GelxLbaIN8A/edit?usp=sharing"",""หนองบัวลำภู"&amp;"!I317"")+IMPORTRANGE(""https://docs.google.com/spreadsheets/d/1lFxr3ctmjFN90yc-xV6jrQ9Ty8BKYVBWnAZ15wcNIJc/edit?usp=sharing"",""อำนาจเจริญ!I317"")+IMPORTRANGE(""https://docs.google.com/spreadsheets/d/1gF7RJpRnL-1oyjyeWxs5SFWEH7y8ahOZsQlyp2A2e-A/edit?usp=s"&amp;"haring"",""อุดรธานี!I317"")+IMPORTRANGE(""https://docs.google.com/spreadsheets/d/1kfLP0j3INXRa8bTDpcEmoWewMBV61jlFlfzczfjWIgc/edit?usp=sharing"",""อุบลราชธานี!I317"")"),29)</f>
        <v>29</v>
      </c>
      <c r="J317" s="181">
        <f ca="1">IFERROR(__xludf.DUMMYFUNCTION("IMPORTRANGE(""https://docs.google.com/spreadsheets/d/1yhBcrRPreicbMKl9Bu_Snb2-OcQAF62RKfhTLhJ2eAA/edit?usp=sharing"",""กาฬสินธุ์!J317"")+IMPORTRANGE(""https://docs.google.com/spreadsheets/d/1aHkj4IaQMThhwWwevcOymEh837vdxeC_PycurhTbGFA/edit?usp=sharing"","&amp;"""ขอนแก่น!J317"")+IMPORTRANGE(""https://docs.google.com/spreadsheets/d/1FvTu2DsIWUjP6WCWra38Bkj_oOl_sOMf14r5Fg5srxU/edit?usp=sharing"",""ชัยภูมิ!J317"")+IMPORTRANGE(""https://docs.google.com/spreadsheets/d/1XVB7oCJ3pr-vBUdflwPQ8Z2LlzhnCvZaaYjAfP-647E/edit"&amp;"?usp=sharing"",""นครพนม!J317"")+IMPORTRANGE(""https://docs.google.com/spreadsheets/d/1Mnpb-8PYAgn85W6KOTD40hc_Xc55CaLfHoGAbrZ8tls/edit?usp=sharing"",""นครราชสีมา!J317"")+IMPORTRANGE(""https://docs.google.com/spreadsheets/d/1xoDLGBv9CYbyosIhki0kTq6IpYNj-gp"&amp;"jxfobnaDiut0/edit?usp=sharing"",""บึงกาฬ!J317"")+IMPORTRANGE(""https://docs.google.com/spreadsheets/d/1MMPq-JyI6DSgQETxuSiXkesP-P7JHuemnE6QJIa-Nlw/edit?usp=sharing"",""บุรีรัมย์!J317"")+IMPORTRANGE(""https://docs.google.com/spreadsheets/d/1l6IZ8xUPgMrESzc"&amp;"TYwhA1k_tPjeQjJPTqlm8Gd9eU5g/edit?usp=sharing"",""มหาสารคาม!J317"")+IMPORTRANGE(""https://docs.google.com/spreadsheets/d/1uB74YLqNjWX6FObjekfB2NtSYigTQyR2rq9u4Ub2Sq4/edit?usp=sharing"",""มุกดาหาร!J317"")+IMPORTRANGE(""https://docs.google.com/spreadsheets/"&amp;"d/1NexK3geCPxCTO1fzNF8dPec7yZyUx3OaWkFBC9HsQOo/edit?usp=sharing"",""ยโสธร!J317"")+IMPORTRANGE(""https://docs.google.com/spreadsheets/d/1v_cJrbBlyqmnHPReHk44g9NrMRdENNlSy_E_c5M9fIg/edit?usp=sharing"",""ร้อยเอ็ด!J317"")+IMPORTRANGE(""https://docs.google.com"&amp;"/spreadsheets/d/1Ul4RCpCX66NxYADU1QpwAPjOmBzW64SsT11s1wzXw_c/edit?usp=sharing"",""เลย!J317"")+IMPORTRANGE(""https://docs.google.com/spreadsheets/d/1bRrNKwbHDVktQG10isr5vbWRtt5spIZPpkOSWgbT5ug/edit?usp=sharing"",""ศรีสะเกษ!J317"")+IMPORTRANGE(""https://doc"&amp;"s.google.com/spreadsheets/d/17P34_Ow5kFBfdQD0qspb2UuPX5zpi6WMrQzslghyvrI/edit?usp=sharing"",""สกลนคร!J317"")+IMPORTRANGE(""https://docs.google.com/spreadsheets/d/1yswqbM3-AEpThF3ZSUa1AcmHnmRTF1vlJ1CZGcJ8YuU/edit?usp=sharing"",""สุรินทร์!J317"")+IMPORTRANG"&amp;"E(""https://docs.google.com/spreadsheets/d/13JHU_EFbsQOUQ0JSQ3dWy1VTRosIWcDq6Nc99z2qzdc/edit?usp=sharing"",""หนองคาย!J317"")+IMPORTRANGE(""https://docs.google.com/spreadsheets/d/1Hx73zIEgVdDZZaYSTc46Dqv64atFhpr3GelxLbaIN8A/edit?usp=sharing"",""หนองบัวลำภู"&amp;"!J317"")+IMPORTRANGE(""https://docs.google.com/spreadsheets/d/1lFxr3ctmjFN90yc-xV6jrQ9Ty8BKYVBWnAZ15wcNIJc/edit?usp=sharing"",""อำนาจเจริญ!J317"")+IMPORTRANGE(""https://docs.google.com/spreadsheets/d/1gF7RJpRnL-1oyjyeWxs5SFWEH7y8ahOZsQlyp2A2e-A/edit?usp=s"&amp;"haring"",""อุดรธานี!J317"")+IMPORTRANGE(""https://docs.google.com/spreadsheets/d/1kfLP0j3INXRa8bTDpcEmoWewMBV61jlFlfzczfjWIgc/edit?usp=sharing"",""อุบลราชธานี!J317"")"),0)</f>
        <v>0</v>
      </c>
      <c r="K317" s="59">
        <f t="shared" ca="1" si="135"/>
        <v>0</v>
      </c>
      <c r="L317" s="58"/>
      <c r="M317" s="58"/>
      <c r="N317" s="58"/>
      <c r="O317" s="58"/>
      <c r="P317" s="58"/>
    </row>
    <row r="318" spans="1:16" ht="19.5" x14ac:dyDescent="0.3">
      <c r="A318" s="384" t="s">
        <v>124</v>
      </c>
      <c r="B318" s="385"/>
      <c r="C318" s="385"/>
      <c r="D318" s="386"/>
      <c r="E318" s="385"/>
      <c r="F318" s="385"/>
      <c r="G318" s="385"/>
      <c r="H318" s="386"/>
      <c r="I318" s="388"/>
      <c r="J318" s="388"/>
      <c r="K318" s="389"/>
      <c r="L318" s="389"/>
      <c r="M318" s="389"/>
      <c r="N318" s="389"/>
      <c r="O318" s="389"/>
      <c r="P318" s="389"/>
    </row>
    <row r="319" spans="1:16" ht="19.5" x14ac:dyDescent="0.3">
      <c r="A319" s="398"/>
      <c r="B319" s="391" t="s">
        <v>125</v>
      </c>
      <c r="C319" s="399"/>
      <c r="D319" s="400"/>
      <c r="E319" s="392"/>
      <c r="F319" s="392"/>
      <c r="G319" s="393"/>
      <c r="H319" s="394" t="s">
        <v>126</v>
      </c>
      <c r="I319" s="395">
        <f t="shared" ref="I319:J319" ca="1" si="136">I330</f>
        <v>2</v>
      </c>
      <c r="J319" s="395">
        <f t="shared" ca="1" si="136"/>
        <v>0</v>
      </c>
      <c r="K319" s="396">
        <f ca="1">IF(I319&gt;0,J319*100/I319,0)</f>
        <v>0</v>
      </c>
      <c r="L319" s="397"/>
      <c r="M319" s="397"/>
      <c r="N319" s="397"/>
      <c r="O319" s="397"/>
      <c r="P319" s="397"/>
    </row>
    <row r="320" spans="1:16" ht="19.5" x14ac:dyDescent="0.3">
      <c r="A320" s="157"/>
      <c r="B320" s="53"/>
      <c r="C320" s="158" t="s">
        <v>16</v>
      </c>
      <c r="D320" s="159" t="s">
        <v>17</v>
      </c>
      <c r="E320" s="53"/>
      <c r="F320" s="53"/>
      <c r="G320" s="55"/>
      <c r="H320" s="160" t="s">
        <v>12</v>
      </c>
      <c r="I320" s="57"/>
      <c r="J320" s="57"/>
      <c r="K320" s="58"/>
      <c r="L320" s="161">
        <f t="shared" ref="L320:N320" ca="1" si="137">L321+L322</f>
        <v>50000</v>
      </c>
      <c r="M320" s="161">
        <f t="shared" ca="1" si="137"/>
        <v>50000</v>
      </c>
      <c r="N320" s="161">
        <f t="shared" ca="1" si="137"/>
        <v>4320</v>
      </c>
      <c r="O320" s="161">
        <f t="shared" ref="O320:O328" ca="1" si="138">IF(L320&gt;0,N320*100/L320,0)</f>
        <v>8.64</v>
      </c>
      <c r="P320" s="161">
        <f t="shared" ref="P320:P328" ca="1" si="139">IF(M320&gt;0,N320*100/M320,0)</f>
        <v>8.64</v>
      </c>
    </row>
    <row r="321" spans="1:16" ht="18.75" x14ac:dyDescent="0.25">
      <c r="A321" s="157"/>
      <c r="B321" s="53"/>
      <c r="C321" s="53"/>
      <c r="D321" s="53"/>
      <c r="E321" s="60" t="s">
        <v>18</v>
      </c>
      <c r="F321" s="53"/>
      <c r="G321" s="55"/>
      <c r="H321" s="162" t="s">
        <v>12</v>
      </c>
      <c r="I321" s="57"/>
      <c r="J321" s="57"/>
      <c r="K321" s="58"/>
      <c r="L321" s="59">
        <f t="shared" ref="L321:N321" ca="1" si="140">L324+L327</f>
        <v>0</v>
      </c>
      <c r="M321" s="59">
        <f t="shared" ca="1" si="140"/>
        <v>0</v>
      </c>
      <c r="N321" s="59">
        <f t="shared" ca="1" si="140"/>
        <v>0</v>
      </c>
      <c r="O321" s="59">
        <f t="shared" ca="1" si="138"/>
        <v>0</v>
      </c>
      <c r="P321" s="59">
        <f t="shared" ca="1" si="139"/>
        <v>0</v>
      </c>
    </row>
    <row r="322" spans="1:16" ht="18.75" x14ac:dyDescent="0.25">
      <c r="A322" s="157"/>
      <c r="B322" s="53"/>
      <c r="C322" s="53"/>
      <c r="D322" s="53"/>
      <c r="E322" s="60" t="s">
        <v>19</v>
      </c>
      <c r="F322" s="53"/>
      <c r="G322" s="55"/>
      <c r="H322" s="162" t="s">
        <v>12</v>
      </c>
      <c r="I322" s="57"/>
      <c r="J322" s="57"/>
      <c r="K322" s="58"/>
      <c r="L322" s="59">
        <f t="shared" ref="L322:N322" ca="1" si="141">L325+L328</f>
        <v>50000</v>
      </c>
      <c r="M322" s="59">
        <f t="shared" ca="1" si="141"/>
        <v>50000</v>
      </c>
      <c r="N322" s="59">
        <f t="shared" ca="1" si="141"/>
        <v>4320</v>
      </c>
      <c r="O322" s="59">
        <f t="shared" ca="1" si="138"/>
        <v>8.64</v>
      </c>
      <c r="P322" s="59">
        <f t="shared" ca="1" si="139"/>
        <v>8.64</v>
      </c>
    </row>
    <row r="323" spans="1:16" ht="18.75" x14ac:dyDescent="0.25">
      <c r="A323" s="157"/>
      <c r="B323" s="53"/>
      <c r="C323" s="53"/>
      <c r="D323" s="54" t="s">
        <v>20</v>
      </c>
      <c r="E323" s="53"/>
      <c r="F323" s="53"/>
      <c r="G323" s="55"/>
      <c r="H323" s="163" t="s">
        <v>12</v>
      </c>
      <c r="I323" s="164"/>
      <c r="J323" s="164"/>
      <c r="K323" s="165"/>
      <c r="L323" s="59">
        <f t="shared" ref="L323:N323" ca="1" si="142">L324+L325</f>
        <v>50000</v>
      </c>
      <c r="M323" s="59">
        <f t="shared" ca="1" si="142"/>
        <v>50000</v>
      </c>
      <c r="N323" s="59">
        <f t="shared" ca="1" si="142"/>
        <v>4320</v>
      </c>
      <c r="O323" s="59">
        <f t="shared" ca="1" si="138"/>
        <v>8.64</v>
      </c>
      <c r="P323" s="59">
        <f t="shared" ca="1" si="139"/>
        <v>8.64</v>
      </c>
    </row>
    <row r="324" spans="1:16" ht="18.75" x14ac:dyDescent="0.25">
      <c r="A324" s="157"/>
      <c r="B324" s="53"/>
      <c r="C324" s="53"/>
      <c r="D324" s="53"/>
      <c r="E324" s="60" t="s">
        <v>34</v>
      </c>
      <c r="F324" s="53"/>
      <c r="G324" s="55"/>
      <c r="H324" s="163" t="s">
        <v>12</v>
      </c>
      <c r="I324" s="164"/>
      <c r="J324" s="164"/>
      <c r="K324" s="165"/>
      <c r="L324" s="59">
        <f ca="1">IFERROR(__xludf.DUMMYFUNCTION("IMPORTRANGE(""https://docs.google.com/spreadsheets/d/1yhBcrRPreicbMKl9Bu_Snb2-OcQAF62RKfhTLhJ2eAA/edit?usp=sharing"",""กาฬสินธุ์!L324"")+IMPORTRANGE(""https://docs.google.com/spreadsheets/d/1aHkj4IaQMThhwWwevcOymEh837vdxeC_PycurhTbGFA/edit?usp=sharing"","&amp;"""ขอนแก่น!L324"")+IMPORTRANGE(""https://docs.google.com/spreadsheets/d/1FvTu2DsIWUjP6WCWra38Bkj_oOl_sOMf14r5Fg5srxU/edit?usp=sharing"",""ชัยภูมิ!L324"")+IMPORTRANGE(""https://docs.google.com/spreadsheets/d/1XVB7oCJ3pr-vBUdflwPQ8Z2LlzhnCvZaaYjAfP-647E/edit"&amp;"?usp=sharing"",""นครพนม!L324"")+IMPORTRANGE(""https://docs.google.com/spreadsheets/d/1Mnpb-8PYAgn85W6KOTD40hc_Xc55CaLfHoGAbrZ8tls/edit?usp=sharing"",""นครราชสีมา!L324"")+IMPORTRANGE(""https://docs.google.com/spreadsheets/d/1xoDLGBv9CYbyosIhki0kTq6IpYNj-gp"&amp;"jxfobnaDiut0/edit?usp=sharing"",""บึงกาฬ!L324"")+IMPORTRANGE(""https://docs.google.com/spreadsheets/d/1MMPq-JyI6DSgQETxuSiXkesP-P7JHuemnE6QJIa-Nlw/edit?usp=sharing"",""บุรีรัมย์!L324"")+IMPORTRANGE(""https://docs.google.com/spreadsheets/d/1l6IZ8xUPgMrESzc"&amp;"TYwhA1k_tPjeQjJPTqlm8Gd9eU5g/edit?usp=sharing"",""มหาสารคาม!L324"")+IMPORTRANGE(""https://docs.google.com/spreadsheets/d/1uB74YLqNjWX6FObjekfB2NtSYigTQyR2rq9u4Ub2Sq4/edit?usp=sharing"",""มุกดาหาร!L324"")+IMPORTRANGE(""https://docs.google.com/spreadsheets/"&amp;"d/1NexK3geCPxCTO1fzNF8dPec7yZyUx3OaWkFBC9HsQOo/edit?usp=sharing"",""ยโสธร!L324"")+IMPORTRANGE(""https://docs.google.com/spreadsheets/d/1v_cJrbBlyqmnHPReHk44g9NrMRdENNlSy_E_c5M9fIg/edit?usp=sharing"",""ร้อยเอ็ด!L324"")+IMPORTRANGE(""https://docs.google.com"&amp;"/spreadsheets/d/1Ul4RCpCX66NxYADU1QpwAPjOmBzW64SsT11s1wzXw_c/edit?usp=sharing"",""เลย!L324"")+IMPORTRANGE(""https://docs.google.com/spreadsheets/d/1bRrNKwbHDVktQG10isr5vbWRtt5spIZPpkOSWgbT5ug/edit?usp=sharing"",""ศรีสะเกษ!L324"")+IMPORTRANGE(""https://doc"&amp;"s.google.com/spreadsheets/d/17P34_Ow5kFBfdQD0qspb2UuPX5zpi6WMrQzslghyvrI/edit?usp=sharing"",""สกลนคร!L324"")+IMPORTRANGE(""https://docs.google.com/spreadsheets/d/1yswqbM3-AEpThF3ZSUa1AcmHnmRTF1vlJ1CZGcJ8YuU/edit?usp=sharing"",""สุรินทร์!L324"")+IMPORTRANG"&amp;"E(""https://docs.google.com/spreadsheets/d/13JHU_EFbsQOUQ0JSQ3dWy1VTRosIWcDq6Nc99z2qzdc/edit?usp=sharing"",""หนองคาย!L324"")+IMPORTRANGE(""https://docs.google.com/spreadsheets/d/1Hx73zIEgVdDZZaYSTc46Dqv64atFhpr3GelxLbaIN8A/edit?usp=sharing"",""หนองบัวลำภู"&amp;"!L324"")+IMPORTRANGE(""https://docs.google.com/spreadsheets/d/1lFxr3ctmjFN90yc-xV6jrQ9Ty8BKYVBWnAZ15wcNIJc/edit?usp=sharing"",""อำนาจเจริญ!L324"")+IMPORTRANGE(""https://docs.google.com/spreadsheets/d/1gF7RJpRnL-1oyjyeWxs5SFWEH7y8ahOZsQlyp2A2e-A/edit?usp=s"&amp;"haring"",""อุดรธานี!L324"")+IMPORTRANGE(""https://docs.google.com/spreadsheets/d/1kfLP0j3INXRa8bTDpcEmoWewMBV61jlFlfzczfjWIgc/edit?usp=sharing"",""อุบลราชธานี!L324"")"),0)</f>
        <v>0</v>
      </c>
      <c r="M324" s="59">
        <f ca="1">IFERROR(__xludf.DUMMYFUNCTION("IMPORTRANGE(""https://docs.google.com/spreadsheets/d/1yhBcrRPreicbMKl9Bu_Snb2-OcQAF62RKfhTLhJ2eAA/edit?usp=sharing"",""กาฬสินธุ์!M324"")+IMPORTRANGE(""https://docs.google.com/spreadsheets/d/1aHkj4IaQMThhwWwevcOymEh837vdxeC_PycurhTbGFA/edit?usp=sharing"","&amp;"""ขอนแก่น!M324"")+IMPORTRANGE(""https://docs.google.com/spreadsheets/d/1FvTu2DsIWUjP6WCWra38Bkj_oOl_sOMf14r5Fg5srxU/edit?usp=sharing"",""ชัยภูมิ!M324"")+IMPORTRANGE(""https://docs.google.com/spreadsheets/d/1XVB7oCJ3pr-vBUdflwPQ8Z2LlzhnCvZaaYjAfP-647E/edit"&amp;"?usp=sharing"",""นครพนม!M324"")+IMPORTRANGE(""https://docs.google.com/spreadsheets/d/1Mnpb-8PYAgn85W6KOTD40hc_Xc55CaLfHoGAbrZ8tls/edit?usp=sharing"",""นครราชสีมา!M324"")+IMPORTRANGE(""https://docs.google.com/spreadsheets/d/1xoDLGBv9CYbyosIhki0kTq6IpYNj-gp"&amp;"jxfobnaDiut0/edit?usp=sharing"",""บึงกาฬ!M324"")+IMPORTRANGE(""https://docs.google.com/spreadsheets/d/1MMPq-JyI6DSgQETxuSiXkesP-P7JHuemnE6QJIa-Nlw/edit?usp=sharing"",""บุรีรัมย์!M324"")+IMPORTRANGE(""https://docs.google.com/spreadsheets/d/1l6IZ8xUPgMrESzc"&amp;"TYwhA1k_tPjeQjJPTqlm8Gd9eU5g/edit?usp=sharing"",""มหาสารคาม!M324"")+IMPORTRANGE(""https://docs.google.com/spreadsheets/d/1uB74YLqNjWX6FObjekfB2NtSYigTQyR2rq9u4Ub2Sq4/edit?usp=sharing"",""มุกดาหาร!M324"")+IMPORTRANGE(""https://docs.google.com/spreadsheets/"&amp;"d/1NexK3geCPxCTO1fzNF8dPec7yZyUx3OaWkFBC9HsQOo/edit?usp=sharing"",""ยโสธร!M324"")+IMPORTRANGE(""https://docs.google.com/spreadsheets/d/1v_cJrbBlyqmnHPReHk44g9NrMRdENNlSy_E_c5M9fIg/edit?usp=sharing"",""ร้อยเอ็ด!M324"")+IMPORTRANGE(""https://docs.google.com"&amp;"/spreadsheets/d/1Ul4RCpCX66NxYADU1QpwAPjOmBzW64SsT11s1wzXw_c/edit?usp=sharing"",""เลย!M324"")+IMPORTRANGE(""https://docs.google.com/spreadsheets/d/1bRrNKwbHDVktQG10isr5vbWRtt5spIZPpkOSWgbT5ug/edit?usp=sharing"",""ศรีสะเกษ!M324"")+IMPORTRANGE(""https://doc"&amp;"s.google.com/spreadsheets/d/17P34_Ow5kFBfdQD0qspb2UuPX5zpi6WMrQzslghyvrI/edit?usp=sharing"",""สกลนคร!M324"")+IMPORTRANGE(""https://docs.google.com/spreadsheets/d/1yswqbM3-AEpThF3ZSUa1AcmHnmRTF1vlJ1CZGcJ8YuU/edit?usp=sharing"",""สุรินทร์!M324"")+IMPORTRANG"&amp;"E(""https://docs.google.com/spreadsheets/d/13JHU_EFbsQOUQ0JSQ3dWy1VTRosIWcDq6Nc99z2qzdc/edit?usp=sharing"",""หนองคาย!M324"")+IMPORTRANGE(""https://docs.google.com/spreadsheets/d/1Hx73zIEgVdDZZaYSTc46Dqv64atFhpr3GelxLbaIN8A/edit?usp=sharing"",""หนองบัวลำภู"&amp;"!M324"")+IMPORTRANGE(""https://docs.google.com/spreadsheets/d/1lFxr3ctmjFN90yc-xV6jrQ9Ty8BKYVBWnAZ15wcNIJc/edit?usp=sharing"",""อำนาจเจริญ!M324"")+IMPORTRANGE(""https://docs.google.com/spreadsheets/d/1gF7RJpRnL-1oyjyeWxs5SFWEH7y8ahOZsQlyp2A2e-A/edit?usp=s"&amp;"haring"",""อุดรธานี!M324"")+IMPORTRANGE(""https://docs.google.com/spreadsheets/d/1kfLP0j3INXRa8bTDpcEmoWewMBV61jlFlfzczfjWIgc/edit?usp=sharing"",""อุบลราชธานี!M324"")"),0)</f>
        <v>0</v>
      </c>
      <c r="N324" s="59">
        <f ca="1">IFERROR(__xludf.DUMMYFUNCTION("IMPORTRANGE(""https://docs.google.com/spreadsheets/d/1yhBcrRPreicbMKl9Bu_Snb2-OcQAF62RKfhTLhJ2eAA/edit?usp=sharing"",""กาฬสินธุ์!N324"")+IMPORTRANGE(""https://docs.google.com/spreadsheets/d/1aHkj4IaQMThhwWwevcOymEh837vdxeC_PycurhTbGFA/edit?usp=sharing"","&amp;"""ขอนแก่น!N324"")+IMPORTRANGE(""https://docs.google.com/spreadsheets/d/1FvTu2DsIWUjP6WCWra38Bkj_oOl_sOMf14r5Fg5srxU/edit?usp=sharing"",""ชัยภูมิ!N324"")+IMPORTRANGE(""https://docs.google.com/spreadsheets/d/1XVB7oCJ3pr-vBUdflwPQ8Z2LlzhnCvZaaYjAfP-647E/edit"&amp;"?usp=sharing"",""นครพนม!N324"")+IMPORTRANGE(""https://docs.google.com/spreadsheets/d/1Mnpb-8PYAgn85W6KOTD40hc_Xc55CaLfHoGAbrZ8tls/edit?usp=sharing"",""นครราชสีมา!N324"")+IMPORTRANGE(""https://docs.google.com/spreadsheets/d/1xoDLGBv9CYbyosIhki0kTq6IpYNj-gp"&amp;"jxfobnaDiut0/edit?usp=sharing"",""บึงกาฬ!N324"")+IMPORTRANGE(""https://docs.google.com/spreadsheets/d/1MMPq-JyI6DSgQETxuSiXkesP-P7JHuemnE6QJIa-Nlw/edit?usp=sharing"",""บุรีรัมย์!N324"")+IMPORTRANGE(""https://docs.google.com/spreadsheets/d/1l6IZ8xUPgMrESzc"&amp;"TYwhA1k_tPjeQjJPTqlm8Gd9eU5g/edit?usp=sharing"",""มหาสารคาม!N324"")+IMPORTRANGE(""https://docs.google.com/spreadsheets/d/1uB74YLqNjWX6FObjekfB2NtSYigTQyR2rq9u4Ub2Sq4/edit?usp=sharing"",""มุกดาหาร!N324"")+IMPORTRANGE(""https://docs.google.com/spreadsheets/"&amp;"d/1NexK3geCPxCTO1fzNF8dPec7yZyUx3OaWkFBC9HsQOo/edit?usp=sharing"",""ยโสธร!N324"")+IMPORTRANGE(""https://docs.google.com/spreadsheets/d/1v_cJrbBlyqmnHPReHk44g9NrMRdENNlSy_E_c5M9fIg/edit?usp=sharing"",""ร้อยเอ็ด!N324"")+IMPORTRANGE(""https://docs.google.com"&amp;"/spreadsheets/d/1Ul4RCpCX66NxYADU1QpwAPjOmBzW64SsT11s1wzXw_c/edit?usp=sharing"",""เลย!N324"")+IMPORTRANGE(""https://docs.google.com/spreadsheets/d/1bRrNKwbHDVktQG10isr5vbWRtt5spIZPpkOSWgbT5ug/edit?usp=sharing"",""ศรีสะเกษ!N324"")+IMPORTRANGE(""https://doc"&amp;"s.google.com/spreadsheets/d/17P34_Ow5kFBfdQD0qspb2UuPX5zpi6WMrQzslghyvrI/edit?usp=sharing"",""สกลนคร!N324"")+IMPORTRANGE(""https://docs.google.com/spreadsheets/d/1yswqbM3-AEpThF3ZSUa1AcmHnmRTF1vlJ1CZGcJ8YuU/edit?usp=sharing"",""สุรินทร์!N324"")+IMPORTRANG"&amp;"E(""https://docs.google.com/spreadsheets/d/13JHU_EFbsQOUQ0JSQ3dWy1VTRosIWcDq6Nc99z2qzdc/edit?usp=sharing"",""หนองคาย!N324"")+IMPORTRANGE(""https://docs.google.com/spreadsheets/d/1Hx73zIEgVdDZZaYSTc46Dqv64atFhpr3GelxLbaIN8A/edit?usp=sharing"",""หนองบัวลำภู"&amp;"!N324"")+IMPORTRANGE(""https://docs.google.com/spreadsheets/d/1lFxr3ctmjFN90yc-xV6jrQ9Ty8BKYVBWnAZ15wcNIJc/edit?usp=sharing"",""อำนาจเจริญ!N324"")+IMPORTRANGE(""https://docs.google.com/spreadsheets/d/1gF7RJpRnL-1oyjyeWxs5SFWEH7y8ahOZsQlyp2A2e-A/edit?usp=s"&amp;"haring"",""อุดรธานี!N324"")+IMPORTRANGE(""https://docs.google.com/spreadsheets/d/1kfLP0j3INXRa8bTDpcEmoWewMBV61jlFlfzczfjWIgc/edit?usp=sharing"",""อุบลราชธานี!N324"")"),0)</f>
        <v>0</v>
      </c>
      <c r="O324" s="59">
        <f t="shared" ca="1" si="138"/>
        <v>0</v>
      </c>
      <c r="P324" s="59">
        <f t="shared" ca="1" si="139"/>
        <v>0</v>
      </c>
    </row>
    <row r="325" spans="1:16" ht="18.75" x14ac:dyDescent="0.25">
      <c r="A325" s="157"/>
      <c r="B325" s="53"/>
      <c r="C325" s="53"/>
      <c r="D325" s="53"/>
      <c r="E325" s="60" t="s">
        <v>35</v>
      </c>
      <c r="F325" s="53"/>
      <c r="G325" s="55"/>
      <c r="H325" s="163" t="s">
        <v>12</v>
      </c>
      <c r="I325" s="164"/>
      <c r="J325" s="164"/>
      <c r="K325" s="165"/>
      <c r="L325" s="59">
        <f ca="1">IFERROR(__xludf.DUMMYFUNCTION("IMPORTRANGE(""https://docs.google.com/spreadsheets/d/1yhBcrRPreicbMKl9Bu_Snb2-OcQAF62RKfhTLhJ2eAA/edit?usp=sharing"",""กาฬสินธุ์!L325"")+IMPORTRANGE(""https://docs.google.com/spreadsheets/d/1aHkj4IaQMThhwWwevcOymEh837vdxeC_PycurhTbGFA/edit?usp=sharing"","&amp;"""ขอนแก่น!L325"")+IMPORTRANGE(""https://docs.google.com/spreadsheets/d/1FvTu2DsIWUjP6WCWra38Bkj_oOl_sOMf14r5Fg5srxU/edit?usp=sharing"",""ชัยภูมิ!L325"")+IMPORTRANGE(""https://docs.google.com/spreadsheets/d/1XVB7oCJ3pr-vBUdflwPQ8Z2LlzhnCvZaaYjAfP-647E/edit"&amp;"?usp=sharing"",""นครพนม!L325"")+IMPORTRANGE(""https://docs.google.com/spreadsheets/d/1Mnpb-8PYAgn85W6KOTD40hc_Xc55CaLfHoGAbrZ8tls/edit?usp=sharing"",""นครราชสีมา!L325"")+IMPORTRANGE(""https://docs.google.com/spreadsheets/d/1xoDLGBv9CYbyosIhki0kTq6IpYNj-gp"&amp;"jxfobnaDiut0/edit?usp=sharing"",""บึงกาฬ!L325"")+IMPORTRANGE(""https://docs.google.com/spreadsheets/d/1MMPq-JyI6DSgQETxuSiXkesP-P7JHuemnE6QJIa-Nlw/edit?usp=sharing"",""บุรีรัมย์!L325"")+IMPORTRANGE(""https://docs.google.com/spreadsheets/d/1l6IZ8xUPgMrESzc"&amp;"TYwhA1k_tPjeQjJPTqlm8Gd9eU5g/edit?usp=sharing"",""มหาสารคาม!L325"")+IMPORTRANGE(""https://docs.google.com/spreadsheets/d/1uB74YLqNjWX6FObjekfB2NtSYigTQyR2rq9u4Ub2Sq4/edit?usp=sharing"",""มุกดาหาร!L325"")+IMPORTRANGE(""https://docs.google.com/spreadsheets/"&amp;"d/1NexK3geCPxCTO1fzNF8dPec7yZyUx3OaWkFBC9HsQOo/edit?usp=sharing"",""ยโสธร!L325"")+IMPORTRANGE(""https://docs.google.com/spreadsheets/d/1v_cJrbBlyqmnHPReHk44g9NrMRdENNlSy_E_c5M9fIg/edit?usp=sharing"",""ร้อยเอ็ด!L325"")+IMPORTRANGE(""https://docs.google.com"&amp;"/spreadsheets/d/1Ul4RCpCX66NxYADU1QpwAPjOmBzW64SsT11s1wzXw_c/edit?usp=sharing"",""เลย!L325"")+IMPORTRANGE(""https://docs.google.com/spreadsheets/d/1bRrNKwbHDVktQG10isr5vbWRtt5spIZPpkOSWgbT5ug/edit?usp=sharing"",""ศรีสะเกษ!L325"")+IMPORTRANGE(""https://doc"&amp;"s.google.com/spreadsheets/d/17P34_Ow5kFBfdQD0qspb2UuPX5zpi6WMrQzslghyvrI/edit?usp=sharing"",""สกลนคร!L325"")+IMPORTRANGE(""https://docs.google.com/spreadsheets/d/1yswqbM3-AEpThF3ZSUa1AcmHnmRTF1vlJ1CZGcJ8YuU/edit?usp=sharing"",""สุรินทร์!L325"")+IMPORTRANG"&amp;"E(""https://docs.google.com/spreadsheets/d/13JHU_EFbsQOUQ0JSQ3dWy1VTRosIWcDq6Nc99z2qzdc/edit?usp=sharing"",""หนองคาย!L325"")+IMPORTRANGE(""https://docs.google.com/spreadsheets/d/1Hx73zIEgVdDZZaYSTc46Dqv64atFhpr3GelxLbaIN8A/edit?usp=sharing"",""หนองบัวลำภู"&amp;"!L325"")+IMPORTRANGE(""https://docs.google.com/spreadsheets/d/1lFxr3ctmjFN90yc-xV6jrQ9Ty8BKYVBWnAZ15wcNIJc/edit?usp=sharing"",""อำนาจเจริญ!L325"")+IMPORTRANGE(""https://docs.google.com/spreadsheets/d/1gF7RJpRnL-1oyjyeWxs5SFWEH7y8ahOZsQlyp2A2e-A/edit?usp=s"&amp;"haring"",""อุดรธานี!L325"")+IMPORTRANGE(""https://docs.google.com/spreadsheets/d/1kfLP0j3INXRa8bTDpcEmoWewMBV61jlFlfzczfjWIgc/edit?usp=sharing"",""อุบลราชธานี!L325"")"),50000)</f>
        <v>50000</v>
      </c>
      <c r="M325" s="59">
        <f ca="1">IFERROR(__xludf.DUMMYFUNCTION("IMPORTRANGE(""https://docs.google.com/spreadsheets/d/1yhBcrRPreicbMKl9Bu_Snb2-OcQAF62RKfhTLhJ2eAA/edit?usp=sharing"",""กาฬสินธุ์!M325"")+IMPORTRANGE(""https://docs.google.com/spreadsheets/d/1aHkj4IaQMThhwWwevcOymEh837vdxeC_PycurhTbGFA/edit?usp=sharing"","&amp;"""ขอนแก่น!M325"")+IMPORTRANGE(""https://docs.google.com/spreadsheets/d/1FvTu2DsIWUjP6WCWra38Bkj_oOl_sOMf14r5Fg5srxU/edit?usp=sharing"",""ชัยภูมิ!M325"")+IMPORTRANGE(""https://docs.google.com/spreadsheets/d/1XVB7oCJ3pr-vBUdflwPQ8Z2LlzhnCvZaaYjAfP-647E/edit"&amp;"?usp=sharing"",""นครพนม!M325"")+IMPORTRANGE(""https://docs.google.com/spreadsheets/d/1Mnpb-8PYAgn85W6KOTD40hc_Xc55CaLfHoGAbrZ8tls/edit?usp=sharing"",""นครราชสีมา!M325"")+IMPORTRANGE(""https://docs.google.com/spreadsheets/d/1xoDLGBv9CYbyosIhki0kTq6IpYNj-gp"&amp;"jxfobnaDiut0/edit?usp=sharing"",""บึงกาฬ!M325"")+IMPORTRANGE(""https://docs.google.com/spreadsheets/d/1MMPq-JyI6DSgQETxuSiXkesP-P7JHuemnE6QJIa-Nlw/edit?usp=sharing"",""บุรีรัมย์!M325"")+IMPORTRANGE(""https://docs.google.com/spreadsheets/d/1l6IZ8xUPgMrESzc"&amp;"TYwhA1k_tPjeQjJPTqlm8Gd9eU5g/edit?usp=sharing"",""มหาสารคาม!M325"")+IMPORTRANGE(""https://docs.google.com/spreadsheets/d/1uB74YLqNjWX6FObjekfB2NtSYigTQyR2rq9u4Ub2Sq4/edit?usp=sharing"",""มุกดาหาร!M325"")+IMPORTRANGE(""https://docs.google.com/spreadsheets/"&amp;"d/1NexK3geCPxCTO1fzNF8dPec7yZyUx3OaWkFBC9HsQOo/edit?usp=sharing"",""ยโสธร!M325"")+IMPORTRANGE(""https://docs.google.com/spreadsheets/d/1v_cJrbBlyqmnHPReHk44g9NrMRdENNlSy_E_c5M9fIg/edit?usp=sharing"",""ร้อยเอ็ด!M325"")+IMPORTRANGE(""https://docs.google.com"&amp;"/spreadsheets/d/1Ul4RCpCX66NxYADU1QpwAPjOmBzW64SsT11s1wzXw_c/edit?usp=sharing"",""เลย!M325"")+IMPORTRANGE(""https://docs.google.com/spreadsheets/d/1bRrNKwbHDVktQG10isr5vbWRtt5spIZPpkOSWgbT5ug/edit?usp=sharing"",""ศรีสะเกษ!M325"")+IMPORTRANGE(""https://doc"&amp;"s.google.com/spreadsheets/d/17P34_Ow5kFBfdQD0qspb2UuPX5zpi6WMrQzslghyvrI/edit?usp=sharing"",""สกลนคร!M325"")+IMPORTRANGE(""https://docs.google.com/spreadsheets/d/1yswqbM3-AEpThF3ZSUa1AcmHnmRTF1vlJ1CZGcJ8YuU/edit?usp=sharing"",""สุรินทร์!M325"")+IMPORTRANG"&amp;"E(""https://docs.google.com/spreadsheets/d/13JHU_EFbsQOUQ0JSQ3dWy1VTRosIWcDq6Nc99z2qzdc/edit?usp=sharing"",""หนองคาย!M325"")+IMPORTRANGE(""https://docs.google.com/spreadsheets/d/1Hx73zIEgVdDZZaYSTc46Dqv64atFhpr3GelxLbaIN8A/edit?usp=sharing"",""หนองบัวลำภู"&amp;"!M325"")+IMPORTRANGE(""https://docs.google.com/spreadsheets/d/1lFxr3ctmjFN90yc-xV6jrQ9Ty8BKYVBWnAZ15wcNIJc/edit?usp=sharing"",""อำนาจเจริญ!M325"")+IMPORTRANGE(""https://docs.google.com/spreadsheets/d/1gF7RJpRnL-1oyjyeWxs5SFWEH7y8ahOZsQlyp2A2e-A/edit?usp=s"&amp;"haring"",""อุดรธานี!M325"")+IMPORTRANGE(""https://docs.google.com/spreadsheets/d/1kfLP0j3INXRa8bTDpcEmoWewMBV61jlFlfzczfjWIgc/edit?usp=sharing"",""อุบลราชธานี!M325"")"),50000)</f>
        <v>50000</v>
      </c>
      <c r="N325" s="59">
        <f ca="1">IFERROR(__xludf.DUMMYFUNCTION("IMPORTRANGE(""https://docs.google.com/spreadsheets/d/1yhBcrRPreicbMKl9Bu_Snb2-OcQAF62RKfhTLhJ2eAA/edit?usp=sharing"",""กาฬสินธุ์!N325"")+IMPORTRANGE(""https://docs.google.com/spreadsheets/d/1aHkj4IaQMThhwWwevcOymEh837vdxeC_PycurhTbGFA/edit?usp=sharing"","&amp;"""ขอนแก่น!N325"")+IMPORTRANGE(""https://docs.google.com/spreadsheets/d/1FvTu2DsIWUjP6WCWra38Bkj_oOl_sOMf14r5Fg5srxU/edit?usp=sharing"",""ชัยภูมิ!N325"")+IMPORTRANGE(""https://docs.google.com/spreadsheets/d/1XVB7oCJ3pr-vBUdflwPQ8Z2LlzhnCvZaaYjAfP-647E/edit"&amp;"?usp=sharing"",""นครพนม!N325"")+IMPORTRANGE(""https://docs.google.com/spreadsheets/d/1Mnpb-8PYAgn85W6KOTD40hc_Xc55CaLfHoGAbrZ8tls/edit?usp=sharing"",""นครราชสีมา!N325"")+IMPORTRANGE(""https://docs.google.com/spreadsheets/d/1xoDLGBv9CYbyosIhki0kTq6IpYNj-gp"&amp;"jxfobnaDiut0/edit?usp=sharing"",""บึงกาฬ!N325"")+IMPORTRANGE(""https://docs.google.com/spreadsheets/d/1MMPq-JyI6DSgQETxuSiXkesP-P7JHuemnE6QJIa-Nlw/edit?usp=sharing"",""บุรีรัมย์!N325"")+IMPORTRANGE(""https://docs.google.com/spreadsheets/d/1l6IZ8xUPgMrESzc"&amp;"TYwhA1k_tPjeQjJPTqlm8Gd9eU5g/edit?usp=sharing"",""มหาสารคาม!N325"")+IMPORTRANGE(""https://docs.google.com/spreadsheets/d/1uB74YLqNjWX6FObjekfB2NtSYigTQyR2rq9u4Ub2Sq4/edit?usp=sharing"",""มุกดาหาร!N325"")+IMPORTRANGE(""https://docs.google.com/spreadsheets/"&amp;"d/1NexK3geCPxCTO1fzNF8dPec7yZyUx3OaWkFBC9HsQOo/edit?usp=sharing"",""ยโสธร!N325"")+IMPORTRANGE(""https://docs.google.com/spreadsheets/d/1v_cJrbBlyqmnHPReHk44g9NrMRdENNlSy_E_c5M9fIg/edit?usp=sharing"",""ร้อยเอ็ด!N325"")+IMPORTRANGE(""https://docs.google.com"&amp;"/spreadsheets/d/1Ul4RCpCX66NxYADU1QpwAPjOmBzW64SsT11s1wzXw_c/edit?usp=sharing"",""เลย!N325"")+IMPORTRANGE(""https://docs.google.com/spreadsheets/d/1bRrNKwbHDVktQG10isr5vbWRtt5spIZPpkOSWgbT5ug/edit?usp=sharing"",""ศรีสะเกษ!N325"")+IMPORTRANGE(""https://doc"&amp;"s.google.com/spreadsheets/d/17P34_Ow5kFBfdQD0qspb2UuPX5zpi6WMrQzslghyvrI/edit?usp=sharing"",""สกลนคร!N325"")+IMPORTRANGE(""https://docs.google.com/spreadsheets/d/1yswqbM3-AEpThF3ZSUa1AcmHnmRTF1vlJ1CZGcJ8YuU/edit?usp=sharing"",""สุรินทร์!N325"")+IMPORTRANG"&amp;"E(""https://docs.google.com/spreadsheets/d/13JHU_EFbsQOUQ0JSQ3dWy1VTRosIWcDq6Nc99z2qzdc/edit?usp=sharing"",""หนองคาย!N325"")+IMPORTRANGE(""https://docs.google.com/spreadsheets/d/1Hx73zIEgVdDZZaYSTc46Dqv64atFhpr3GelxLbaIN8A/edit?usp=sharing"",""หนองบัวลำภู"&amp;"!N325"")+IMPORTRANGE(""https://docs.google.com/spreadsheets/d/1lFxr3ctmjFN90yc-xV6jrQ9Ty8BKYVBWnAZ15wcNIJc/edit?usp=sharing"",""อำนาจเจริญ!N325"")+IMPORTRANGE(""https://docs.google.com/spreadsheets/d/1gF7RJpRnL-1oyjyeWxs5SFWEH7y8ahOZsQlyp2A2e-A/edit?usp=s"&amp;"haring"",""อุดรธานี!N325"")+IMPORTRANGE(""https://docs.google.com/spreadsheets/d/1kfLP0j3INXRa8bTDpcEmoWewMBV61jlFlfzczfjWIgc/edit?usp=sharing"",""อุบลราชธานี!N325"")"),4320)</f>
        <v>4320</v>
      </c>
      <c r="O325" s="59">
        <f t="shared" ca="1" si="138"/>
        <v>8.64</v>
      </c>
      <c r="P325" s="59">
        <f t="shared" ca="1" si="139"/>
        <v>8.64</v>
      </c>
    </row>
    <row r="326" spans="1:16" ht="18.75" x14ac:dyDescent="0.25">
      <c r="A326" s="157"/>
      <c r="B326" s="53"/>
      <c r="C326" s="53"/>
      <c r="D326" s="54" t="s">
        <v>21</v>
      </c>
      <c r="E326" s="53"/>
      <c r="F326" s="53"/>
      <c r="G326" s="55"/>
      <c r="H326" s="166" t="s">
        <v>12</v>
      </c>
      <c r="I326" s="164"/>
      <c r="J326" s="164"/>
      <c r="K326" s="165"/>
      <c r="L326" s="59">
        <f t="shared" ref="L326:N326" ca="1" si="143">L327+L328</f>
        <v>0</v>
      </c>
      <c r="M326" s="59">
        <f t="shared" ca="1" si="143"/>
        <v>0</v>
      </c>
      <c r="N326" s="59">
        <f t="shared" ca="1" si="143"/>
        <v>0</v>
      </c>
      <c r="O326" s="59">
        <f t="shared" ca="1" si="138"/>
        <v>0</v>
      </c>
      <c r="P326" s="59">
        <f t="shared" ca="1" si="139"/>
        <v>0</v>
      </c>
    </row>
    <row r="327" spans="1:16" ht="18.75" x14ac:dyDescent="0.25">
      <c r="A327" s="157"/>
      <c r="B327" s="53"/>
      <c r="C327" s="53"/>
      <c r="D327" s="53"/>
      <c r="E327" s="60" t="s">
        <v>18</v>
      </c>
      <c r="F327" s="53"/>
      <c r="G327" s="55"/>
      <c r="H327" s="163" t="s">
        <v>12</v>
      </c>
      <c r="I327" s="164"/>
      <c r="J327" s="164"/>
      <c r="K327" s="165"/>
      <c r="L327" s="59">
        <f ca="1">IFERROR(__xludf.DUMMYFUNCTION("IMPORTRANGE(""https://docs.google.com/spreadsheets/d/1yhBcrRPreicbMKl9Bu_Snb2-OcQAF62RKfhTLhJ2eAA/edit?usp=sharing"",""กาฬสินธุ์!L327"")+IMPORTRANGE(""https://docs.google.com/spreadsheets/d/1aHkj4IaQMThhwWwevcOymEh837vdxeC_PycurhTbGFA/edit?usp=sharing"","&amp;"""ขอนแก่น!L327"")+IMPORTRANGE(""https://docs.google.com/spreadsheets/d/1FvTu2DsIWUjP6WCWra38Bkj_oOl_sOMf14r5Fg5srxU/edit?usp=sharing"",""ชัยภูมิ!L327"")+IMPORTRANGE(""https://docs.google.com/spreadsheets/d/1XVB7oCJ3pr-vBUdflwPQ8Z2LlzhnCvZaaYjAfP-647E/edit"&amp;"?usp=sharing"",""นครพนม!L327"")+IMPORTRANGE(""https://docs.google.com/spreadsheets/d/1Mnpb-8PYAgn85W6KOTD40hc_Xc55CaLfHoGAbrZ8tls/edit?usp=sharing"",""นครราชสีมา!L327"")+IMPORTRANGE(""https://docs.google.com/spreadsheets/d/1xoDLGBv9CYbyosIhki0kTq6IpYNj-gp"&amp;"jxfobnaDiut0/edit?usp=sharing"",""บึงกาฬ!L327"")+IMPORTRANGE(""https://docs.google.com/spreadsheets/d/1MMPq-JyI6DSgQETxuSiXkesP-P7JHuemnE6QJIa-Nlw/edit?usp=sharing"",""บุรีรัมย์!L327"")+IMPORTRANGE(""https://docs.google.com/spreadsheets/d/1l6IZ8xUPgMrESzc"&amp;"TYwhA1k_tPjeQjJPTqlm8Gd9eU5g/edit?usp=sharing"",""มหาสารคาม!L327"")+IMPORTRANGE(""https://docs.google.com/spreadsheets/d/1uB74YLqNjWX6FObjekfB2NtSYigTQyR2rq9u4Ub2Sq4/edit?usp=sharing"",""มุกดาหาร!L327"")+IMPORTRANGE(""https://docs.google.com/spreadsheets/"&amp;"d/1NexK3geCPxCTO1fzNF8dPec7yZyUx3OaWkFBC9HsQOo/edit?usp=sharing"",""ยโสธร!L327"")+IMPORTRANGE(""https://docs.google.com/spreadsheets/d/1v_cJrbBlyqmnHPReHk44g9NrMRdENNlSy_E_c5M9fIg/edit?usp=sharing"",""ร้อยเอ็ด!L327"")+IMPORTRANGE(""https://docs.google.com"&amp;"/spreadsheets/d/1Ul4RCpCX66NxYADU1QpwAPjOmBzW64SsT11s1wzXw_c/edit?usp=sharing"",""เลย!L327"")+IMPORTRANGE(""https://docs.google.com/spreadsheets/d/1bRrNKwbHDVktQG10isr5vbWRtt5spIZPpkOSWgbT5ug/edit?usp=sharing"",""ศรีสะเกษ!L327"")+IMPORTRANGE(""https://doc"&amp;"s.google.com/spreadsheets/d/17P34_Ow5kFBfdQD0qspb2UuPX5zpi6WMrQzslghyvrI/edit?usp=sharing"",""สกลนคร!L327"")+IMPORTRANGE(""https://docs.google.com/spreadsheets/d/1yswqbM3-AEpThF3ZSUa1AcmHnmRTF1vlJ1CZGcJ8YuU/edit?usp=sharing"",""สุรินทร์!L327"")+IMPORTRANG"&amp;"E(""https://docs.google.com/spreadsheets/d/13JHU_EFbsQOUQ0JSQ3dWy1VTRosIWcDq6Nc99z2qzdc/edit?usp=sharing"",""หนองคาย!L327"")+IMPORTRANGE(""https://docs.google.com/spreadsheets/d/1Hx73zIEgVdDZZaYSTc46Dqv64atFhpr3GelxLbaIN8A/edit?usp=sharing"",""หนองบัวลำภู"&amp;"!L327"")+IMPORTRANGE(""https://docs.google.com/spreadsheets/d/1lFxr3ctmjFN90yc-xV6jrQ9Ty8BKYVBWnAZ15wcNIJc/edit?usp=sharing"",""อำนาจเจริญ!L327"")+IMPORTRANGE(""https://docs.google.com/spreadsheets/d/1gF7RJpRnL-1oyjyeWxs5SFWEH7y8ahOZsQlyp2A2e-A/edit?usp=s"&amp;"haring"",""อุดรธานี!L327"")+IMPORTRANGE(""https://docs.google.com/spreadsheets/d/1kfLP0j3INXRa8bTDpcEmoWewMBV61jlFlfzczfjWIgc/edit?usp=sharing"",""อุบลราชธานี!L327"")"),0)</f>
        <v>0</v>
      </c>
      <c r="M327" s="59">
        <f ca="1">IFERROR(__xludf.DUMMYFUNCTION("IMPORTRANGE(""https://docs.google.com/spreadsheets/d/1yhBcrRPreicbMKl9Bu_Snb2-OcQAF62RKfhTLhJ2eAA/edit?usp=sharing"",""กาฬสินธุ์!M327"")+IMPORTRANGE(""https://docs.google.com/spreadsheets/d/1aHkj4IaQMThhwWwevcOymEh837vdxeC_PycurhTbGFA/edit?usp=sharing"","&amp;"""ขอนแก่น!M327"")+IMPORTRANGE(""https://docs.google.com/spreadsheets/d/1FvTu2DsIWUjP6WCWra38Bkj_oOl_sOMf14r5Fg5srxU/edit?usp=sharing"",""ชัยภูมิ!M327"")+IMPORTRANGE(""https://docs.google.com/spreadsheets/d/1XVB7oCJ3pr-vBUdflwPQ8Z2LlzhnCvZaaYjAfP-647E/edit"&amp;"?usp=sharing"",""นครพนม!M327"")+IMPORTRANGE(""https://docs.google.com/spreadsheets/d/1Mnpb-8PYAgn85W6KOTD40hc_Xc55CaLfHoGAbrZ8tls/edit?usp=sharing"",""นครราชสีมา!M327"")+IMPORTRANGE(""https://docs.google.com/spreadsheets/d/1xoDLGBv9CYbyosIhki0kTq6IpYNj-gp"&amp;"jxfobnaDiut0/edit?usp=sharing"",""บึงกาฬ!M327"")+IMPORTRANGE(""https://docs.google.com/spreadsheets/d/1MMPq-JyI6DSgQETxuSiXkesP-P7JHuemnE6QJIa-Nlw/edit?usp=sharing"",""บุรีรัมย์!M327"")+IMPORTRANGE(""https://docs.google.com/spreadsheets/d/1l6IZ8xUPgMrESzc"&amp;"TYwhA1k_tPjeQjJPTqlm8Gd9eU5g/edit?usp=sharing"",""มหาสารคาม!M327"")+IMPORTRANGE(""https://docs.google.com/spreadsheets/d/1uB74YLqNjWX6FObjekfB2NtSYigTQyR2rq9u4Ub2Sq4/edit?usp=sharing"",""มุกดาหาร!M327"")+IMPORTRANGE(""https://docs.google.com/spreadsheets/"&amp;"d/1NexK3geCPxCTO1fzNF8dPec7yZyUx3OaWkFBC9HsQOo/edit?usp=sharing"",""ยโสธร!M327"")+IMPORTRANGE(""https://docs.google.com/spreadsheets/d/1v_cJrbBlyqmnHPReHk44g9NrMRdENNlSy_E_c5M9fIg/edit?usp=sharing"",""ร้อยเอ็ด!M327"")+IMPORTRANGE(""https://docs.google.com"&amp;"/spreadsheets/d/1Ul4RCpCX66NxYADU1QpwAPjOmBzW64SsT11s1wzXw_c/edit?usp=sharing"",""เลย!M327"")+IMPORTRANGE(""https://docs.google.com/spreadsheets/d/1bRrNKwbHDVktQG10isr5vbWRtt5spIZPpkOSWgbT5ug/edit?usp=sharing"",""ศรีสะเกษ!M327"")+IMPORTRANGE(""https://doc"&amp;"s.google.com/spreadsheets/d/17P34_Ow5kFBfdQD0qspb2UuPX5zpi6WMrQzslghyvrI/edit?usp=sharing"",""สกลนคร!M327"")+IMPORTRANGE(""https://docs.google.com/spreadsheets/d/1yswqbM3-AEpThF3ZSUa1AcmHnmRTF1vlJ1CZGcJ8YuU/edit?usp=sharing"",""สุรินทร์!M327"")+IMPORTRANG"&amp;"E(""https://docs.google.com/spreadsheets/d/13JHU_EFbsQOUQ0JSQ3dWy1VTRosIWcDq6Nc99z2qzdc/edit?usp=sharing"",""หนองคาย!M327"")+IMPORTRANGE(""https://docs.google.com/spreadsheets/d/1Hx73zIEgVdDZZaYSTc46Dqv64atFhpr3GelxLbaIN8A/edit?usp=sharing"",""หนองบัวลำภู"&amp;"!M327"")+IMPORTRANGE(""https://docs.google.com/spreadsheets/d/1lFxr3ctmjFN90yc-xV6jrQ9Ty8BKYVBWnAZ15wcNIJc/edit?usp=sharing"",""อำนาจเจริญ!M327"")+IMPORTRANGE(""https://docs.google.com/spreadsheets/d/1gF7RJpRnL-1oyjyeWxs5SFWEH7y8ahOZsQlyp2A2e-A/edit?usp=s"&amp;"haring"",""อุดรธานี!M327"")+IMPORTRANGE(""https://docs.google.com/spreadsheets/d/1kfLP0j3INXRa8bTDpcEmoWewMBV61jlFlfzczfjWIgc/edit?usp=sharing"",""อุบลราชธานี!M327"")"),0)</f>
        <v>0</v>
      </c>
      <c r="N327" s="59">
        <f ca="1">IFERROR(__xludf.DUMMYFUNCTION("IMPORTRANGE(""https://docs.google.com/spreadsheets/d/1yhBcrRPreicbMKl9Bu_Snb2-OcQAF62RKfhTLhJ2eAA/edit?usp=sharing"",""กาฬสินธุ์!N327"")+IMPORTRANGE(""https://docs.google.com/spreadsheets/d/1aHkj4IaQMThhwWwevcOymEh837vdxeC_PycurhTbGFA/edit?usp=sharing"","&amp;"""ขอนแก่น!N327"")+IMPORTRANGE(""https://docs.google.com/spreadsheets/d/1FvTu2DsIWUjP6WCWra38Bkj_oOl_sOMf14r5Fg5srxU/edit?usp=sharing"",""ชัยภูมิ!N327"")+IMPORTRANGE(""https://docs.google.com/spreadsheets/d/1XVB7oCJ3pr-vBUdflwPQ8Z2LlzhnCvZaaYjAfP-647E/edit"&amp;"?usp=sharing"",""นครพนม!N327"")+IMPORTRANGE(""https://docs.google.com/spreadsheets/d/1Mnpb-8PYAgn85W6KOTD40hc_Xc55CaLfHoGAbrZ8tls/edit?usp=sharing"",""นครราชสีมา!N327"")+IMPORTRANGE(""https://docs.google.com/spreadsheets/d/1xoDLGBv9CYbyosIhki0kTq6IpYNj-gp"&amp;"jxfobnaDiut0/edit?usp=sharing"",""บึงกาฬ!N327"")+IMPORTRANGE(""https://docs.google.com/spreadsheets/d/1MMPq-JyI6DSgQETxuSiXkesP-P7JHuemnE6QJIa-Nlw/edit?usp=sharing"",""บุรีรัมย์!N327"")+IMPORTRANGE(""https://docs.google.com/spreadsheets/d/1l6IZ8xUPgMrESzc"&amp;"TYwhA1k_tPjeQjJPTqlm8Gd9eU5g/edit?usp=sharing"",""มหาสารคาม!N327"")+IMPORTRANGE(""https://docs.google.com/spreadsheets/d/1uB74YLqNjWX6FObjekfB2NtSYigTQyR2rq9u4Ub2Sq4/edit?usp=sharing"",""มุกดาหาร!N327"")+IMPORTRANGE(""https://docs.google.com/spreadsheets/"&amp;"d/1NexK3geCPxCTO1fzNF8dPec7yZyUx3OaWkFBC9HsQOo/edit?usp=sharing"",""ยโสธร!N327"")+IMPORTRANGE(""https://docs.google.com/spreadsheets/d/1v_cJrbBlyqmnHPReHk44g9NrMRdENNlSy_E_c5M9fIg/edit?usp=sharing"",""ร้อยเอ็ด!N327"")+IMPORTRANGE(""https://docs.google.com"&amp;"/spreadsheets/d/1Ul4RCpCX66NxYADU1QpwAPjOmBzW64SsT11s1wzXw_c/edit?usp=sharing"",""เลย!N327"")+IMPORTRANGE(""https://docs.google.com/spreadsheets/d/1bRrNKwbHDVktQG10isr5vbWRtt5spIZPpkOSWgbT5ug/edit?usp=sharing"",""ศรีสะเกษ!N327"")+IMPORTRANGE(""https://doc"&amp;"s.google.com/spreadsheets/d/17P34_Ow5kFBfdQD0qspb2UuPX5zpi6WMrQzslghyvrI/edit?usp=sharing"",""สกลนคร!N327"")+IMPORTRANGE(""https://docs.google.com/spreadsheets/d/1yswqbM3-AEpThF3ZSUa1AcmHnmRTF1vlJ1CZGcJ8YuU/edit?usp=sharing"",""สุรินทร์!N327"")+IMPORTRANG"&amp;"E(""https://docs.google.com/spreadsheets/d/13JHU_EFbsQOUQ0JSQ3dWy1VTRosIWcDq6Nc99z2qzdc/edit?usp=sharing"",""หนองคาย!N327"")+IMPORTRANGE(""https://docs.google.com/spreadsheets/d/1Hx73zIEgVdDZZaYSTc46Dqv64atFhpr3GelxLbaIN8A/edit?usp=sharing"",""หนองบัวลำภู"&amp;"!N327"")+IMPORTRANGE(""https://docs.google.com/spreadsheets/d/1lFxr3ctmjFN90yc-xV6jrQ9Ty8BKYVBWnAZ15wcNIJc/edit?usp=sharing"",""อำนาจเจริญ!N327"")+IMPORTRANGE(""https://docs.google.com/spreadsheets/d/1gF7RJpRnL-1oyjyeWxs5SFWEH7y8ahOZsQlyp2A2e-A/edit?usp=s"&amp;"haring"",""อุดรธานี!N327"")+IMPORTRANGE(""https://docs.google.com/spreadsheets/d/1kfLP0j3INXRa8bTDpcEmoWewMBV61jlFlfzczfjWIgc/edit?usp=sharing"",""อุบลราชธานี!N327"")"),0)</f>
        <v>0</v>
      </c>
      <c r="O327" s="59">
        <f t="shared" ca="1" si="138"/>
        <v>0</v>
      </c>
      <c r="P327" s="59">
        <f t="shared" ca="1" si="139"/>
        <v>0</v>
      </c>
    </row>
    <row r="328" spans="1:16" ht="18.75" x14ac:dyDescent="0.25">
      <c r="A328" s="157"/>
      <c r="B328" s="53"/>
      <c r="C328" s="53"/>
      <c r="D328" s="53"/>
      <c r="E328" s="60" t="s">
        <v>19</v>
      </c>
      <c r="F328" s="53"/>
      <c r="G328" s="55"/>
      <c r="H328" s="166" t="s">
        <v>12</v>
      </c>
      <c r="I328" s="164"/>
      <c r="J328" s="164"/>
      <c r="K328" s="165"/>
      <c r="L328" s="59">
        <f ca="1">IFERROR(__xludf.DUMMYFUNCTION("IMPORTRANGE(""https://docs.google.com/spreadsheets/d/1yhBcrRPreicbMKl9Bu_Snb2-OcQAF62RKfhTLhJ2eAA/edit?usp=sharing"",""กาฬสินธุ์!L328"")+IMPORTRANGE(""https://docs.google.com/spreadsheets/d/1aHkj4IaQMThhwWwevcOymEh837vdxeC_PycurhTbGFA/edit?usp=sharing"","&amp;"""ขอนแก่น!L328"")+IMPORTRANGE(""https://docs.google.com/spreadsheets/d/1FvTu2DsIWUjP6WCWra38Bkj_oOl_sOMf14r5Fg5srxU/edit?usp=sharing"",""ชัยภูมิ!L328"")+IMPORTRANGE(""https://docs.google.com/spreadsheets/d/1XVB7oCJ3pr-vBUdflwPQ8Z2LlzhnCvZaaYjAfP-647E/edit"&amp;"?usp=sharing"",""นครพนม!L328"")+IMPORTRANGE(""https://docs.google.com/spreadsheets/d/1Mnpb-8PYAgn85W6KOTD40hc_Xc55CaLfHoGAbrZ8tls/edit?usp=sharing"",""นครราชสีมา!L328"")+IMPORTRANGE(""https://docs.google.com/spreadsheets/d/1xoDLGBv9CYbyosIhki0kTq6IpYNj-gp"&amp;"jxfobnaDiut0/edit?usp=sharing"",""บึงกาฬ!L328"")+IMPORTRANGE(""https://docs.google.com/spreadsheets/d/1MMPq-JyI6DSgQETxuSiXkesP-P7JHuemnE6QJIa-Nlw/edit?usp=sharing"",""บุรีรัมย์!L328"")+IMPORTRANGE(""https://docs.google.com/spreadsheets/d/1l6IZ8xUPgMrESzc"&amp;"TYwhA1k_tPjeQjJPTqlm8Gd9eU5g/edit?usp=sharing"",""มหาสารคาม!L328"")+IMPORTRANGE(""https://docs.google.com/spreadsheets/d/1uB74YLqNjWX6FObjekfB2NtSYigTQyR2rq9u4Ub2Sq4/edit?usp=sharing"",""มุกดาหาร!L328"")+IMPORTRANGE(""https://docs.google.com/spreadsheets/"&amp;"d/1NexK3geCPxCTO1fzNF8dPec7yZyUx3OaWkFBC9HsQOo/edit?usp=sharing"",""ยโสธร!L328"")+IMPORTRANGE(""https://docs.google.com/spreadsheets/d/1v_cJrbBlyqmnHPReHk44g9NrMRdENNlSy_E_c5M9fIg/edit?usp=sharing"",""ร้อยเอ็ด!L328"")+IMPORTRANGE(""https://docs.google.com"&amp;"/spreadsheets/d/1Ul4RCpCX66NxYADU1QpwAPjOmBzW64SsT11s1wzXw_c/edit?usp=sharing"",""เลย!L328"")+IMPORTRANGE(""https://docs.google.com/spreadsheets/d/1bRrNKwbHDVktQG10isr5vbWRtt5spIZPpkOSWgbT5ug/edit?usp=sharing"",""ศรีสะเกษ!L328"")+IMPORTRANGE(""https://doc"&amp;"s.google.com/spreadsheets/d/17P34_Ow5kFBfdQD0qspb2UuPX5zpi6WMrQzslghyvrI/edit?usp=sharing"",""สกลนคร!L328"")+IMPORTRANGE(""https://docs.google.com/spreadsheets/d/1yswqbM3-AEpThF3ZSUa1AcmHnmRTF1vlJ1CZGcJ8YuU/edit?usp=sharing"",""สุรินทร์!L328"")+IMPORTRANG"&amp;"E(""https://docs.google.com/spreadsheets/d/13JHU_EFbsQOUQ0JSQ3dWy1VTRosIWcDq6Nc99z2qzdc/edit?usp=sharing"",""หนองคาย!L328"")+IMPORTRANGE(""https://docs.google.com/spreadsheets/d/1Hx73zIEgVdDZZaYSTc46Dqv64atFhpr3GelxLbaIN8A/edit?usp=sharing"",""หนองบัวลำภู"&amp;"!L328"")+IMPORTRANGE(""https://docs.google.com/spreadsheets/d/1lFxr3ctmjFN90yc-xV6jrQ9Ty8BKYVBWnAZ15wcNIJc/edit?usp=sharing"",""อำนาจเจริญ!L328"")+IMPORTRANGE(""https://docs.google.com/spreadsheets/d/1gF7RJpRnL-1oyjyeWxs5SFWEH7y8ahOZsQlyp2A2e-A/edit?usp=s"&amp;"haring"",""อุดรธานี!L328"")+IMPORTRANGE(""https://docs.google.com/spreadsheets/d/1kfLP0j3INXRa8bTDpcEmoWewMBV61jlFlfzczfjWIgc/edit?usp=sharing"",""อุบลราชธานี!L328"")"),0)</f>
        <v>0</v>
      </c>
      <c r="M328" s="59">
        <f ca="1">IFERROR(__xludf.DUMMYFUNCTION("IMPORTRANGE(""https://docs.google.com/spreadsheets/d/1yhBcrRPreicbMKl9Bu_Snb2-OcQAF62RKfhTLhJ2eAA/edit?usp=sharing"",""กาฬสินธุ์!M328"")+IMPORTRANGE(""https://docs.google.com/spreadsheets/d/1aHkj4IaQMThhwWwevcOymEh837vdxeC_PycurhTbGFA/edit?usp=sharing"","&amp;"""ขอนแก่น!M328"")+IMPORTRANGE(""https://docs.google.com/spreadsheets/d/1FvTu2DsIWUjP6WCWra38Bkj_oOl_sOMf14r5Fg5srxU/edit?usp=sharing"",""ชัยภูมิ!M328"")+IMPORTRANGE(""https://docs.google.com/spreadsheets/d/1XVB7oCJ3pr-vBUdflwPQ8Z2LlzhnCvZaaYjAfP-647E/edit"&amp;"?usp=sharing"",""นครพนม!M328"")+IMPORTRANGE(""https://docs.google.com/spreadsheets/d/1Mnpb-8PYAgn85W6KOTD40hc_Xc55CaLfHoGAbrZ8tls/edit?usp=sharing"",""นครราชสีมา!M328"")+IMPORTRANGE(""https://docs.google.com/spreadsheets/d/1xoDLGBv9CYbyosIhki0kTq6IpYNj-gp"&amp;"jxfobnaDiut0/edit?usp=sharing"",""บึงกาฬ!M328"")+IMPORTRANGE(""https://docs.google.com/spreadsheets/d/1MMPq-JyI6DSgQETxuSiXkesP-P7JHuemnE6QJIa-Nlw/edit?usp=sharing"",""บุรีรัมย์!M328"")+IMPORTRANGE(""https://docs.google.com/spreadsheets/d/1l6IZ8xUPgMrESzc"&amp;"TYwhA1k_tPjeQjJPTqlm8Gd9eU5g/edit?usp=sharing"",""มหาสารคาม!M328"")+IMPORTRANGE(""https://docs.google.com/spreadsheets/d/1uB74YLqNjWX6FObjekfB2NtSYigTQyR2rq9u4Ub2Sq4/edit?usp=sharing"",""มุกดาหาร!M328"")+IMPORTRANGE(""https://docs.google.com/spreadsheets/"&amp;"d/1NexK3geCPxCTO1fzNF8dPec7yZyUx3OaWkFBC9HsQOo/edit?usp=sharing"",""ยโสธร!M328"")+IMPORTRANGE(""https://docs.google.com/spreadsheets/d/1v_cJrbBlyqmnHPReHk44g9NrMRdENNlSy_E_c5M9fIg/edit?usp=sharing"",""ร้อยเอ็ด!M328"")+IMPORTRANGE(""https://docs.google.com"&amp;"/spreadsheets/d/1Ul4RCpCX66NxYADU1QpwAPjOmBzW64SsT11s1wzXw_c/edit?usp=sharing"",""เลย!M328"")+IMPORTRANGE(""https://docs.google.com/spreadsheets/d/1bRrNKwbHDVktQG10isr5vbWRtt5spIZPpkOSWgbT5ug/edit?usp=sharing"",""ศรีสะเกษ!M328"")+IMPORTRANGE(""https://doc"&amp;"s.google.com/spreadsheets/d/17P34_Ow5kFBfdQD0qspb2UuPX5zpi6WMrQzslghyvrI/edit?usp=sharing"",""สกลนคร!M328"")+IMPORTRANGE(""https://docs.google.com/spreadsheets/d/1yswqbM3-AEpThF3ZSUa1AcmHnmRTF1vlJ1CZGcJ8YuU/edit?usp=sharing"",""สุรินทร์!M328"")+IMPORTRANG"&amp;"E(""https://docs.google.com/spreadsheets/d/13JHU_EFbsQOUQ0JSQ3dWy1VTRosIWcDq6Nc99z2qzdc/edit?usp=sharing"",""หนองคาย!M328"")+IMPORTRANGE(""https://docs.google.com/spreadsheets/d/1Hx73zIEgVdDZZaYSTc46Dqv64atFhpr3GelxLbaIN8A/edit?usp=sharing"",""หนองบัวลำภู"&amp;"!M328"")+IMPORTRANGE(""https://docs.google.com/spreadsheets/d/1lFxr3ctmjFN90yc-xV6jrQ9Ty8BKYVBWnAZ15wcNIJc/edit?usp=sharing"",""อำนาจเจริญ!M328"")+IMPORTRANGE(""https://docs.google.com/spreadsheets/d/1gF7RJpRnL-1oyjyeWxs5SFWEH7y8ahOZsQlyp2A2e-A/edit?usp=s"&amp;"haring"",""อุดรธานี!M328"")+IMPORTRANGE(""https://docs.google.com/spreadsheets/d/1kfLP0j3INXRa8bTDpcEmoWewMBV61jlFlfzczfjWIgc/edit?usp=sharing"",""อุบลราชธานี!M328"")"),0)</f>
        <v>0</v>
      </c>
      <c r="N328" s="59">
        <f ca="1">IFERROR(__xludf.DUMMYFUNCTION("IMPORTRANGE(""https://docs.google.com/spreadsheets/d/1yhBcrRPreicbMKl9Bu_Snb2-OcQAF62RKfhTLhJ2eAA/edit?usp=sharing"",""กาฬสินธุ์!N328"")+IMPORTRANGE(""https://docs.google.com/spreadsheets/d/1aHkj4IaQMThhwWwevcOymEh837vdxeC_PycurhTbGFA/edit?usp=sharing"","&amp;"""ขอนแก่น!N328"")+IMPORTRANGE(""https://docs.google.com/spreadsheets/d/1FvTu2DsIWUjP6WCWra38Bkj_oOl_sOMf14r5Fg5srxU/edit?usp=sharing"",""ชัยภูมิ!N328"")+IMPORTRANGE(""https://docs.google.com/spreadsheets/d/1XVB7oCJ3pr-vBUdflwPQ8Z2LlzhnCvZaaYjAfP-647E/edit"&amp;"?usp=sharing"",""นครพนม!N328"")+IMPORTRANGE(""https://docs.google.com/spreadsheets/d/1Mnpb-8PYAgn85W6KOTD40hc_Xc55CaLfHoGAbrZ8tls/edit?usp=sharing"",""นครราชสีมา!N328"")+IMPORTRANGE(""https://docs.google.com/spreadsheets/d/1xoDLGBv9CYbyosIhki0kTq6IpYNj-gp"&amp;"jxfobnaDiut0/edit?usp=sharing"",""บึงกาฬ!N328"")+IMPORTRANGE(""https://docs.google.com/spreadsheets/d/1MMPq-JyI6DSgQETxuSiXkesP-P7JHuemnE6QJIa-Nlw/edit?usp=sharing"",""บุรีรัมย์!N328"")+IMPORTRANGE(""https://docs.google.com/spreadsheets/d/1l6IZ8xUPgMrESzc"&amp;"TYwhA1k_tPjeQjJPTqlm8Gd9eU5g/edit?usp=sharing"",""มหาสารคาม!N328"")+IMPORTRANGE(""https://docs.google.com/spreadsheets/d/1uB74YLqNjWX6FObjekfB2NtSYigTQyR2rq9u4Ub2Sq4/edit?usp=sharing"",""มุกดาหาร!N328"")+IMPORTRANGE(""https://docs.google.com/spreadsheets/"&amp;"d/1NexK3geCPxCTO1fzNF8dPec7yZyUx3OaWkFBC9HsQOo/edit?usp=sharing"",""ยโสธร!N328"")+IMPORTRANGE(""https://docs.google.com/spreadsheets/d/1v_cJrbBlyqmnHPReHk44g9NrMRdENNlSy_E_c5M9fIg/edit?usp=sharing"",""ร้อยเอ็ด!N328"")+IMPORTRANGE(""https://docs.google.com"&amp;"/spreadsheets/d/1Ul4RCpCX66NxYADU1QpwAPjOmBzW64SsT11s1wzXw_c/edit?usp=sharing"",""เลย!N328"")+IMPORTRANGE(""https://docs.google.com/spreadsheets/d/1bRrNKwbHDVktQG10isr5vbWRtt5spIZPpkOSWgbT5ug/edit?usp=sharing"",""ศรีสะเกษ!N328"")+IMPORTRANGE(""https://doc"&amp;"s.google.com/spreadsheets/d/17P34_Ow5kFBfdQD0qspb2UuPX5zpi6WMrQzslghyvrI/edit?usp=sharing"",""สกลนคร!N328"")+IMPORTRANGE(""https://docs.google.com/spreadsheets/d/1yswqbM3-AEpThF3ZSUa1AcmHnmRTF1vlJ1CZGcJ8YuU/edit?usp=sharing"",""สุรินทร์!N328"")+IMPORTRANG"&amp;"E(""https://docs.google.com/spreadsheets/d/13JHU_EFbsQOUQ0JSQ3dWy1VTRosIWcDq6Nc99z2qzdc/edit?usp=sharing"",""หนองคาย!N328"")+IMPORTRANGE(""https://docs.google.com/spreadsheets/d/1Hx73zIEgVdDZZaYSTc46Dqv64atFhpr3GelxLbaIN8A/edit?usp=sharing"",""หนองบัวลำภู"&amp;"!N328"")+IMPORTRANGE(""https://docs.google.com/spreadsheets/d/1lFxr3ctmjFN90yc-xV6jrQ9Ty8BKYVBWnAZ15wcNIJc/edit?usp=sharing"",""อำนาจเจริญ!N328"")+IMPORTRANGE(""https://docs.google.com/spreadsheets/d/1gF7RJpRnL-1oyjyeWxs5SFWEH7y8ahOZsQlyp2A2e-A/edit?usp=s"&amp;"haring"",""อุดรธานี!N328"")+IMPORTRANGE(""https://docs.google.com/spreadsheets/d/1kfLP0j3INXRa8bTDpcEmoWewMBV61jlFlfzczfjWIgc/edit?usp=sharing"",""อุบลราชธานี!N328"")"),0)</f>
        <v>0</v>
      </c>
      <c r="O328" s="59">
        <f t="shared" ca="1" si="138"/>
        <v>0</v>
      </c>
      <c r="P328" s="59">
        <f t="shared" ca="1" si="139"/>
        <v>0</v>
      </c>
    </row>
    <row r="329" spans="1:16" ht="19.5" x14ac:dyDescent="0.3">
      <c r="A329" s="167"/>
      <c r="B329" s="168"/>
      <c r="C329" s="158" t="s">
        <v>16</v>
      </c>
      <c r="D329" s="169" t="s">
        <v>36</v>
      </c>
      <c r="E329" s="170"/>
      <c r="F329" s="170"/>
      <c r="G329" s="171"/>
      <c r="H329" s="172"/>
      <c r="I329" s="164"/>
      <c r="J329" s="57"/>
      <c r="K329" s="58"/>
      <c r="L329" s="58"/>
      <c r="M329" s="58"/>
      <c r="N329" s="58"/>
      <c r="O329" s="165"/>
      <c r="P329" s="165"/>
    </row>
    <row r="330" spans="1:16" ht="18.75" x14ac:dyDescent="0.25">
      <c r="A330" s="167"/>
      <c r="B330" s="168"/>
      <c r="C330" s="168"/>
      <c r="D330" s="173" t="s">
        <v>127</v>
      </c>
      <c r="E330" s="174"/>
      <c r="F330" s="174"/>
      <c r="G330" s="172"/>
      <c r="H330" s="56" t="s">
        <v>126</v>
      </c>
      <c r="I330" s="194">
        <f ca="1">IFERROR(__xludf.DUMMYFUNCTION("IMPORTRANGE(""https://docs.google.com/spreadsheets/d/1yhBcrRPreicbMKl9Bu_Snb2-OcQAF62RKfhTLhJ2eAA/edit?usp=sharing"",""กาฬสินธุ์!I330"")+IMPORTRANGE(""https://docs.google.com/spreadsheets/d/1aHkj4IaQMThhwWwevcOymEh837vdxeC_PycurhTbGFA/edit?usp=sharing"","&amp;"""ขอนแก่น!I330"")+IMPORTRANGE(""https://docs.google.com/spreadsheets/d/1FvTu2DsIWUjP6WCWra38Bkj_oOl_sOMf14r5Fg5srxU/edit?usp=sharing"",""ชัยภูมิ!I330"")+IMPORTRANGE(""https://docs.google.com/spreadsheets/d/1XVB7oCJ3pr-vBUdflwPQ8Z2LlzhnCvZaaYjAfP-647E/edit"&amp;"?usp=sharing"",""นครพนม!I330"")+IMPORTRANGE(""https://docs.google.com/spreadsheets/d/1Mnpb-8PYAgn85W6KOTD40hc_Xc55CaLfHoGAbrZ8tls/edit?usp=sharing"",""นครราชสีมา!I330"")+IMPORTRANGE(""https://docs.google.com/spreadsheets/d/1xoDLGBv9CYbyosIhki0kTq6IpYNj-gp"&amp;"jxfobnaDiut0/edit?usp=sharing"",""บึงกาฬ!I330"")+IMPORTRANGE(""https://docs.google.com/spreadsheets/d/1MMPq-JyI6DSgQETxuSiXkesP-P7JHuemnE6QJIa-Nlw/edit?usp=sharing"",""บุรีรัมย์!I330"")+IMPORTRANGE(""https://docs.google.com/spreadsheets/d/1l6IZ8xUPgMrESzc"&amp;"TYwhA1k_tPjeQjJPTqlm8Gd9eU5g/edit?usp=sharing"",""มหาสารคาม!I330"")+IMPORTRANGE(""https://docs.google.com/spreadsheets/d/1uB74YLqNjWX6FObjekfB2NtSYigTQyR2rq9u4Ub2Sq4/edit?usp=sharing"",""มุกดาหาร!I330"")+IMPORTRANGE(""https://docs.google.com/spreadsheets/"&amp;"d/1NexK3geCPxCTO1fzNF8dPec7yZyUx3OaWkFBC9HsQOo/edit?usp=sharing"",""ยโสธร!I330"")+IMPORTRANGE(""https://docs.google.com/spreadsheets/d/1v_cJrbBlyqmnHPReHk44g9NrMRdENNlSy_E_c5M9fIg/edit?usp=sharing"",""ร้อยเอ็ด!I330"")+IMPORTRANGE(""https://docs.google.com"&amp;"/spreadsheets/d/1Ul4RCpCX66NxYADU1QpwAPjOmBzW64SsT11s1wzXw_c/edit?usp=sharing"",""เลย!I330"")+IMPORTRANGE(""https://docs.google.com/spreadsheets/d/1bRrNKwbHDVktQG10isr5vbWRtt5spIZPpkOSWgbT5ug/edit?usp=sharing"",""ศรีสะเกษ!I330"")+IMPORTRANGE(""https://doc"&amp;"s.google.com/spreadsheets/d/17P34_Ow5kFBfdQD0qspb2UuPX5zpi6WMrQzslghyvrI/edit?usp=sharing"",""สกลนคร!I330"")+IMPORTRANGE(""https://docs.google.com/spreadsheets/d/1yswqbM3-AEpThF3ZSUa1AcmHnmRTF1vlJ1CZGcJ8YuU/edit?usp=sharing"",""สุรินทร์!I330"")+IMPORTRANG"&amp;"E(""https://docs.google.com/spreadsheets/d/13JHU_EFbsQOUQ0JSQ3dWy1VTRosIWcDq6Nc99z2qzdc/edit?usp=sharing"",""หนองคาย!I330"")+IMPORTRANGE(""https://docs.google.com/spreadsheets/d/1Hx73zIEgVdDZZaYSTc46Dqv64atFhpr3GelxLbaIN8A/edit?usp=sharing"",""หนองบัวลำภู"&amp;"!I330"")+IMPORTRANGE(""https://docs.google.com/spreadsheets/d/1lFxr3ctmjFN90yc-xV6jrQ9Ty8BKYVBWnAZ15wcNIJc/edit?usp=sharing"",""อำนาจเจริญ!I330"")+IMPORTRANGE(""https://docs.google.com/spreadsheets/d/1gF7RJpRnL-1oyjyeWxs5SFWEH7y8ahOZsQlyp2A2e-A/edit?usp=s"&amp;"haring"",""อุดรธานี!I330"")+IMPORTRANGE(""https://docs.google.com/spreadsheets/d/1kfLP0j3INXRa8bTDpcEmoWewMBV61jlFlfzczfjWIgc/edit?usp=sharing"",""อุบลราชธานี!I330"")"),2)</f>
        <v>2</v>
      </c>
      <c r="J330" s="194">
        <f ca="1">IFERROR(__xludf.DUMMYFUNCTION("IMPORTRANGE(""https://docs.google.com/spreadsheets/d/1yhBcrRPreicbMKl9Bu_Snb2-OcQAF62RKfhTLhJ2eAA/edit?usp=sharing"",""กาฬสินธุ์!J330"")+IMPORTRANGE(""https://docs.google.com/spreadsheets/d/1aHkj4IaQMThhwWwevcOymEh837vdxeC_PycurhTbGFA/edit?usp=sharing"","&amp;"""ขอนแก่น!J330"")+IMPORTRANGE(""https://docs.google.com/spreadsheets/d/1FvTu2DsIWUjP6WCWra38Bkj_oOl_sOMf14r5Fg5srxU/edit?usp=sharing"",""ชัยภูมิ!J330"")+IMPORTRANGE(""https://docs.google.com/spreadsheets/d/1XVB7oCJ3pr-vBUdflwPQ8Z2LlzhnCvZaaYjAfP-647E/edit"&amp;"?usp=sharing"",""นครพนม!J330"")+IMPORTRANGE(""https://docs.google.com/spreadsheets/d/1Mnpb-8PYAgn85W6KOTD40hc_Xc55CaLfHoGAbrZ8tls/edit?usp=sharing"",""นครราชสีมา!J330"")+IMPORTRANGE(""https://docs.google.com/spreadsheets/d/1xoDLGBv9CYbyosIhki0kTq6IpYNj-gp"&amp;"jxfobnaDiut0/edit?usp=sharing"",""บึงกาฬ!J330"")+IMPORTRANGE(""https://docs.google.com/spreadsheets/d/1MMPq-JyI6DSgQETxuSiXkesP-P7JHuemnE6QJIa-Nlw/edit?usp=sharing"",""บุรีรัมย์!J330"")+IMPORTRANGE(""https://docs.google.com/spreadsheets/d/1l6IZ8xUPgMrESzc"&amp;"TYwhA1k_tPjeQjJPTqlm8Gd9eU5g/edit?usp=sharing"",""มหาสารคาม!J330"")+IMPORTRANGE(""https://docs.google.com/spreadsheets/d/1uB74YLqNjWX6FObjekfB2NtSYigTQyR2rq9u4Ub2Sq4/edit?usp=sharing"",""มุกดาหาร!J330"")+IMPORTRANGE(""https://docs.google.com/spreadsheets/"&amp;"d/1NexK3geCPxCTO1fzNF8dPec7yZyUx3OaWkFBC9HsQOo/edit?usp=sharing"",""ยโสธร!J330"")+IMPORTRANGE(""https://docs.google.com/spreadsheets/d/1v_cJrbBlyqmnHPReHk44g9NrMRdENNlSy_E_c5M9fIg/edit?usp=sharing"",""ร้อยเอ็ด!J330"")+IMPORTRANGE(""https://docs.google.com"&amp;"/spreadsheets/d/1Ul4RCpCX66NxYADU1QpwAPjOmBzW64SsT11s1wzXw_c/edit?usp=sharing"",""เลย!J330"")+IMPORTRANGE(""https://docs.google.com/spreadsheets/d/1bRrNKwbHDVktQG10isr5vbWRtt5spIZPpkOSWgbT5ug/edit?usp=sharing"",""ศรีสะเกษ!J330"")+IMPORTRANGE(""https://doc"&amp;"s.google.com/spreadsheets/d/17P34_Ow5kFBfdQD0qspb2UuPX5zpi6WMrQzslghyvrI/edit?usp=sharing"",""สกลนคร!J330"")+IMPORTRANGE(""https://docs.google.com/spreadsheets/d/1yswqbM3-AEpThF3ZSUa1AcmHnmRTF1vlJ1CZGcJ8YuU/edit?usp=sharing"",""สุรินทร์!J330"")+IMPORTRANG"&amp;"E(""https://docs.google.com/spreadsheets/d/13JHU_EFbsQOUQ0JSQ3dWy1VTRosIWcDq6Nc99z2qzdc/edit?usp=sharing"",""หนองคาย!J330"")+IMPORTRANGE(""https://docs.google.com/spreadsheets/d/1Hx73zIEgVdDZZaYSTc46Dqv64atFhpr3GelxLbaIN8A/edit?usp=sharing"",""หนองบัวลำภู"&amp;"!J330"")+IMPORTRANGE(""https://docs.google.com/spreadsheets/d/1lFxr3ctmjFN90yc-xV6jrQ9Ty8BKYVBWnAZ15wcNIJc/edit?usp=sharing"",""อำนาจเจริญ!J330"")+IMPORTRANGE(""https://docs.google.com/spreadsheets/d/1gF7RJpRnL-1oyjyeWxs5SFWEH7y8ahOZsQlyp2A2e-A/edit?usp=s"&amp;"haring"",""อุดรธานี!J330"")+IMPORTRANGE(""https://docs.google.com/spreadsheets/d/1kfLP0j3INXRa8bTDpcEmoWewMBV61jlFlfzczfjWIgc/edit?usp=sharing"",""อุบลราชธานี!J330"")"),0)</f>
        <v>0</v>
      </c>
      <c r="K330" s="59">
        <f ca="1">IF(I330&gt;0,J330*100/I330,0)</f>
        <v>0</v>
      </c>
      <c r="L330" s="58"/>
      <c r="M330" s="58"/>
      <c r="N330" s="58"/>
      <c r="O330" s="165"/>
      <c r="P330" s="165"/>
    </row>
    <row r="331" spans="1:16" ht="19.5" x14ac:dyDescent="0.3">
      <c r="A331" s="384" t="s">
        <v>128</v>
      </c>
      <c r="B331" s="385"/>
      <c r="C331" s="385"/>
      <c r="D331" s="386"/>
      <c r="E331" s="385"/>
      <c r="F331" s="385"/>
      <c r="G331" s="385"/>
      <c r="H331" s="386"/>
      <c r="I331" s="388"/>
      <c r="J331" s="388"/>
      <c r="K331" s="389"/>
      <c r="L331" s="389"/>
      <c r="M331" s="389"/>
      <c r="N331" s="389"/>
      <c r="O331" s="389"/>
      <c r="P331" s="389"/>
    </row>
    <row r="332" spans="1:16" ht="19.5" x14ac:dyDescent="0.3">
      <c r="A332" s="390"/>
      <c r="B332" s="391" t="s">
        <v>129</v>
      </c>
      <c r="C332" s="400"/>
      <c r="D332" s="392"/>
      <c r="E332" s="392"/>
      <c r="F332" s="392"/>
      <c r="G332" s="393"/>
      <c r="H332" s="394" t="s">
        <v>33</v>
      </c>
      <c r="I332" s="401">
        <f ca="1">I344</f>
        <v>57200</v>
      </c>
      <c r="J332" s="402">
        <f ca="1">J344+J347+J348+J349+J353</f>
        <v>69458</v>
      </c>
      <c r="K332" s="403">
        <f ca="1">IF(I332&gt;0,J332*100/I332,0)</f>
        <v>121.43006993006993</v>
      </c>
      <c r="L332" s="397"/>
      <c r="M332" s="397"/>
      <c r="N332" s="397"/>
      <c r="O332" s="397"/>
      <c r="P332" s="397"/>
    </row>
    <row r="333" spans="1:16" ht="19.5" x14ac:dyDescent="0.3">
      <c r="A333" s="157"/>
      <c r="B333" s="53"/>
      <c r="C333" s="158" t="s">
        <v>16</v>
      </c>
      <c r="D333" s="159" t="s">
        <v>17</v>
      </c>
      <c r="E333" s="53"/>
      <c r="F333" s="53"/>
      <c r="G333" s="55"/>
      <c r="H333" s="160" t="s">
        <v>12</v>
      </c>
      <c r="I333" s="57"/>
      <c r="J333" s="57"/>
      <c r="K333" s="58"/>
      <c r="L333" s="161">
        <f t="shared" ref="L333:N333" ca="1" si="144">L334+L335</f>
        <v>2440700</v>
      </c>
      <c r="M333" s="161">
        <f t="shared" ca="1" si="144"/>
        <v>1918000</v>
      </c>
      <c r="N333" s="161">
        <f t="shared" ca="1" si="144"/>
        <v>529405</v>
      </c>
      <c r="O333" s="161">
        <f t="shared" ref="O333:O341" ca="1" si="145">IF(L333&gt;0,N333*100/L333,0)</f>
        <v>21.690703486704635</v>
      </c>
      <c r="P333" s="161">
        <f t="shared" ref="P333:P341" ca="1" si="146">IF(M333&gt;0,N333*100/M333,0)</f>
        <v>27.601929092805005</v>
      </c>
    </row>
    <row r="334" spans="1:16" ht="18.75" x14ac:dyDescent="0.25">
      <c r="A334" s="157"/>
      <c r="B334" s="53"/>
      <c r="C334" s="53"/>
      <c r="D334" s="53"/>
      <c r="E334" s="60" t="s">
        <v>18</v>
      </c>
      <c r="F334" s="53"/>
      <c r="G334" s="55"/>
      <c r="H334" s="162" t="s">
        <v>12</v>
      </c>
      <c r="I334" s="57"/>
      <c r="J334" s="57"/>
      <c r="K334" s="58"/>
      <c r="L334" s="59">
        <f t="shared" ref="L334:N334" ca="1" si="147">L337+L340</f>
        <v>0</v>
      </c>
      <c r="M334" s="59">
        <f t="shared" ca="1" si="147"/>
        <v>0</v>
      </c>
      <c r="N334" s="59">
        <f t="shared" ca="1" si="147"/>
        <v>0</v>
      </c>
      <c r="O334" s="59">
        <f t="shared" ca="1" si="145"/>
        <v>0</v>
      </c>
      <c r="P334" s="59">
        <f t="shared" ca="1" si="146"/>
        <v>0</v>
      </c>
    </row>
    <row r="335" spans="1:16" ht="18.75" x14ac:dyDescent="0.25">
      <c r="A335" s="157"/>
      <c r="B335" s="53"/>
      <c r="C335" s="53"/>
      <c r="D335" s="53"/>
      <c r="E335" s="60" t="s">
        <v>19</v>
      </c>
      <c r="F335" s="53"/>
      <c r="G335" s="55"/>
      <c r="H335" s="162" t="s">
        <v>12</v>
      </c>
      <c r="I335" s="57"/>
      <c r="J335" s="57"/>
      <c r="K335" s="58"/>
      <c r="L335" s="59">
        <f t="shared" ref="L335:N335" ca="1" si="148">L338+L341</f>
        <v>2440700</v>
      </c>
      <c r="M335" s="59">
        <f t="shared" ca="1" si="148"/>
        <v>1918000</v>
      </c>
      <c r="N335" s="59">
        <f t="shared" ca="1" si="148"/>
        <v>529405</v>
      </c>
      <c r="O335" s="59">
        <f t="shared" ca="1" si="145"/>
        <v>21.690703486704635</v>
      </c>
      <c r="P335" s="59">
        <f t="shared" ca="1" si="146"/>
        <v>27.601929092805005</v>
      </c>
    </row>
    <row r="336" spans="1:16" ht="18.75" x14ac:dyDescent="0.25">
      <c r="A336" s="157"/>
      <c r="B336" s="53"/>
      <c r="C336" s="53"/>
      <c r="D336" s="54" t="s">
        <v>20</v>
      </c>
      <c r="E336" s="53"/>
      <c r="F336" s="53"/>
      <c r="G336" s="55"/>
      <c r="H336" s="163" t="s">
        <v>12</v>
      </c>
      <c r="I336" s="164"/>
      <c r="J336" s="164"/>
      <c r="K336" s="165"/>
      <c r="L336" s="59">
        <f t="shared" ref="L336:N336" ca="1" si="149">L337+L338</f>
        <v>2440700</v>
      </c>
      <c r="M336" s="59">
        <f t="shared" ca="1" si="149"/>
        <v>1918000</v>
      </c>
      <c r="N336" s="59">
        <f t="shared" ca="1" si="149"/>
        <v>529405</v>
      </c>
      <c r="O336" s="59">
        <f t="shared" ca="1" si="145"/>
        <v>21.690703486704635</v>
      </c>
      <c r="P336" s="59">
        <f t="shared" ca="1" si="146"/>
        <v>27.601929092805005</v>
      </c>
    </row>
    <row r="337" spans="1:16" ht="18.75" x14ac:dyDescent="0.25">
      <c r="A337" s="157"/>
      <c r="B337" s="53"/>
      <c r="C337" s="53"/>
      <c r="D337" s="53"/>
      <c r="E337" s="60" t="s">
        <v>34</v>
      </c>
      <c r="F337" s="53"/>
      <c r="G337" s="55"/>
      <c r="H337" s="163" t="s">
        <v>12</v>
      </c>
      <c r="I337" s="164"/>
      <c r="J337" s="164"/>
      <c r="K337" s="165"/>
      <c r="L337" s="59">
        <f ca="1">IFERROR(__xludf.DUMMYFUNCTION("IMPORTRANGE(""https://docs.google.com/spreadsheets/d/1yhBcrRPreicbMKl9Bu_Snb2-OcQAF62RKfhTLhJ2eAA/edit?usp=sharing"",""กาฬสินธุ์!L337"")+IMPORTRANGE(""https://docs.google.com/spreadsheets/d/1aHkj4IaQMThhwWwevcOymEh837vdxeC_PycurhTbGFA/edit?usp=sharing"","&amp;"""ขอนแก่น!L337"")+IMPORTRANGE(""https://docs.google.com/spreadsheets/d/1FvTu2DsIWUjP6WCWra38Bkj_oOl_sOMf14r5Fg5srxU/edit?usp=sharing"",""ชัยภูมิ!L337"")+IMPORTRANGE(""https://docs.google.com/spreadsheets/d/1XVB7oCJ3pr-vBUdflwPQ8Z2LlzhnCvZaaYjAfP-647E/edit"&amp;"?usp=sharing"",""นครพนม!L337"")+IMPORTRANGE(""https://docs.google.com/spreadsheets/d/1Mnpb-8PYAgn85W6KOTD40hc_Xc55CaLfHoGAbrZ8tls/edit?usp=sharing"",""นครราชสีมา!L337"")+IMPORTRANGE(""https://docs.google.com/spreadsheets/d/1xoDLGBv9CYbyosIhki0kTq6IpYNj-gp"&amp;"jxfobnaDiut0/edit?usp=sharing"",""บึงกาฬ!L337"")+IMPORTRANGE(""https://docs.google.com/spreadsheets/d/1MMPq-JyI6DSgQETxuSiXkesP-P7JHuemnE6QJIa-Nlw/edit?usp=sharing"",""บุรีรัมย์!L337"")+IMPORTRANGE(""https://docs.google.com/spreadsheets/d/1l6IZ8xUPgMrESzc"&amp;"TYwhA1k_tPjeQjJPTqlm8Gd9eU5g/edit?usp=sharing"",""มหาสารคาม!L337"")+IMPORTRANGE(""https://docs.google.com/spreadsheets/d/1uB74YLqNjWX6FObjekfB2NtSYigTQyR2rq9u4Ub2Sq4/edit?usp=sharing"",""มุกดาหาร!L337"")+IMPORTRANGE(""https://docs.google.com/spreadsheets/"&amp;"d/1NexK3geCPxCTO1fzNF8dPec7yZyUx3OaWkFBC9HsQOo/edit?usp=sharing"",""ยโสธร!L337"")+IMPORTRANGE(""https://docs.google.com/spreadsheets/d/1v_cJrbBlyqmnHPReHk44g9NrMRdENNlSy_E_c5M9fIg/edit?usp=sharing"",""ร้อยเอ็ด!L337"")+IMPORTRANGE(""https://docs.google.com"&amp;"/spreadsheets/d/1Ul4RCpCX66NxYADU1QpwAPjOmBzW64SsT11s1wzXw_c/edit?usp=sharing"",""เลย!L337"")+IMPORTRANGE(""https://docs.google.com/spreadsheets/d/1bRrNKwbHDVktQG10isr5vbWRtt5spIZPpkOSWgbT5ug/edit?usp=sharing"",""ศรีสะเกษ!L337"")+IMPORTRANGE(""https://doc"&amp;"s.google.com/spreadsheets/d/17P34_Ow5kFBfdQD0qspb2UuPX5zpi6WMrQzslghyvrI/edit?usp=sharing"",""สกลนคร!L337"")+IMPORTRANGE(""https://docs.google.com/spreadsheets/d/1yswqbM3-AEpThF3ZSUa1AcmHnmRTF1vlJ1CZGcJ8YuU/edit?usp=sharing"",""สุรินทร์!L337"")+IMPORTRANG"&amp;"E(""https://docs.google.com/spreadsheets/d/13JHU_EFbsQOUQ0JSQ3dWy1VTRosIWcDq6Nc99z2qzdc/edit?usp=sharing"",""หนองคาย!L337"")+IMPORTRANGE(""https://docs.google.com/spreadsheets/d/1Hx73zIEgVdDZZaYSTc46Dqv64atFhpr3GelxLbaIN8A/edit?usp=sharing"",""หนองบัวลำภู"&amp;"!L337"")+IMPORTRANGE(""https://docs.google.com/spreadsheets/d/1lFxr3ctmjFN90yc-xV6jrQ9Ty8BKYVBWnAZ15wcNIJc/edit?usp=sharing"",""อำนาจเจริญ!L337"")+IMPORTRANGE(""https://docs.google.com/spreadsheets/d/1gF7RJpRnL-1oyjyeWxs5SFWEH7y8ahOZsQlyp2A2e-A/edit?usp=s"&amp;"haring"",""อุดรธานี!L337"")+IMPORTRANGE(""https://docs.google.com/spreadsheets/d/1kfLP0j3INXRa8bTDpcEmoWewMBV61jlFlfzczfjWIgc/edit?usp=sharing"",""อุบลราชธานี!L337"")"),0)</f>
        <v>0</v>
      </c>
      <c r="M337" s="59">
        <f ca="1">IFERROR(__xludf.DUMMYFUNCTION("IMPORTRANGE(""https://docs.google.com/spreadsheets/d/1yhBcrRPreicbMKl9Bu_Snb2-OcQAF62RKfhTLhJ2eAA/edit?usp=sharing"",""กาฬสินธุ์!M337"")+IMPORTRANGE(""https://docs.google.com/spreadsheets/d/1aHkj4IaQMThhwWwevcOymEh837vdxeC_PycurhTbGFA/edit?usp=sharing"","&amp;"""ขอนแก่น!M337"")+IMPORTRANGE(""https://docs.google.com/spreadsheets/d/1FvTu2DsIWUjP6WCWra38Bkj_oOl_sOMf14r5Fg5srxU/edit?usp=sharing"",""ชัยภูมิ!M337"")+IMPORTRANGE(""https://docs.google.com/spreadsheets/d/1XVB7oCJ3pr-vBUdflwPQ8Z2LlzhnCvZaaYjAfP-647E/edit"&amp;"?usp=sharing"",""นครพนม!M337"")+IMPORTRANGE(""https://docs.google.com/spreadsheets/d/1Mnpb-8PYAgn85W6KOTD40hc_Xc55CaLfHoGAbrZ8tls/edit?usp=sharing"",""นครราชสีมา!M337"")+IMPORTRANGE(""https://docs.google.com/spreadsheets/d/1xoDLGBv9CYbyosIhki0kTq6IpYNj-gp"&amp;"jxfobnaDiut0/edit?usp=sharing"",""บึงกาฬ!M337"")+IMPORTRANGE(""https://docs.google.com/spreadsheets/d/1MMPq-JyI6DSgQETxuSiXkesP-P7JHuemnE6QJIa-Nlw/edit?usp=sharing"",""บุรีรัมย์!M337"")+IMPORTRANGE(""https://docs.google.com/spreadsheets/d/1l6IZ8xUPgMrESzc"&amp;"TYwhA1k_tPjeQjJPTqlm8Gd9eU5g/edit?usp=sharing"",""มหาสารคาม!M337"")+IMPORTRANGE(""https://docs.google.com/spreadsheets/d/1uB74YLqNjWX6FObjekfB2NtSYigTQyR2rq9u4Ub2Sq4/edit?usp=sharing"",""มุกดาหาร!M337"")+IMPORTRANGE(""https://docs.google.com/spreadsheets/"&amp;"d/1NexK3geCPxCTO1fzNF8dPec7yZyUx3OaWkFBC9HsQOo/edit?usp=sharing"",""ยโสธร!M337"")+IMPORTRANGE(""https://docs.google.com/spreadsheets/d/1v_cJrbBlyqmnHPReHk44g9NrMRdENNlSy_E_c5M9fIg/edit?usp=sharing"",""ร้อยเอ็ด!M337"")+IMPORTRANGE(""https://docs.google.com"&amp;"/spreadsheets/d/1Ul4RCpCX66NxYADU1QpwAPjOmBzW64SsT11s1wzXw_c/edit?usp=sharing"",""เลย!M337"")+IMPORTRANGE(""https://docs.google.com/spreadsheets/d/1bRrNKwbHDVktQG10isr5vbWRtt5spIZPpkOSWgbT5ug/edit?usp=sharing"",""ศรีสะเกษ!M337"")+IMPORTRANGE(""https://doc"&amp;"s.google.com/spreadsheets/d/17P34_Ow5kFBfdQD0qspb2UuPX5zpi6WMrQzslghyvrI/edit?usp=sharing"",""สกลนคร!M337"")+IMPORTRANGE(""https://docs.google.com/spreadsheets/d/1yswqbM3-AEpThF3ZSUa1AcmHnmRTF1vlJ1CZGcJ8YuU/edit?usp=sharing"",""สุรินทร์!M337"")+IMPORTRANG"&amp;"E(""https://docs.google.com/spreadsheets/d/13JHU_EFbsQOUQ0JSQ3dWy1VTRosIWcDq6Nc99z2qzdc/edit?usp=sharing"",""หนองคาย!M337"")+IMPORTRANGE(""https://docs.google.com/spreadsheets/d/1Hx73zIEgVdDZZaYSTc46Dqv64atFhpr3GelxLbaIN8A/edit?usp=sharing"",""หนองบัวลำภู"&amp;"!M337"")+IMPORTRANGE(""https://docs.google.com/spreadsheets/d/1lFxr3ctmjFN90yc-xV6jrQ9Ty8BKYVBWnAZ15wcNIJc/edit?usp=sharing"",""อำนาจเจริญ!M337"")+IMPORTRANGE(""https://docs.google.com/spreadsheets/d/1gF7RJpRnL-1oyjyeWxs5SFWEH7y8ahOZsQlyp2A2e-A/edit?usp=s"&amp;"haring"",""อุดรธานี!M337"")+IMPORTRANGE(""https://docs.google.com/spreadsheets/d/1kfLP0j3INXRa8bTDpcEmoWewMBV61jlFlfzczfjWIgc/edit?usp=sharing"",""อุบลราชธานี!M337"")"),0)</f>
        <v>0</v>
      </c>
      <c r="N337" s="59">
        <f ca="1">IFERROR(__xludf.DUMMYFUNCTION("IMPORTRANGE(""https://docs.google.com/spreadsheets/d/1yhBcrRPreicbMKl9Bu_Snb2-OcQAF62RKfhTLhJ2eAA/edit?usp=sharing"",""กาฬสินธุ์!N337"")+IMPORTRANGE(""https://docs.google.com/spreadsheets/d/1aHkj4IaQMThhwWwevcOymEh837vdxeC_PycurhTbGFA/edit?usp=sharing"","&amp;"""ขอนแก่น!N337"")+IMPORTRANGE(""https://docs.google.com/spreadsheets/d/1FvTu2DsIWUjP6WCWra38Bkj_oOl_sOMf14r5Fg5srxU/edit?usp=sharing"",""ชัยภูมิ!N337"")+IMPORTRANGE(""https://docs.google.com/spreadsheets/d/1XVB7oCJ3pr-vBUdflwPQ8Z2LlzhnCvZaaYjAfP-647E/edit"&amp;"?usp=sharing"",""นครพนม!N337"")+IMPORTRANGE(""https://docs.google.com/spreadsheets/d/1Mnpb-8PYAgn85W6KOTD40hc_Xc55CaLfHoGAbrZ8tls/edit?usp=sharing"",""นครราชสีมา!N337"")+IMPORTRANGE(""https://docs.google.com/spreadsheets/d/1xoDLGBv9CYbyosIhki0kTq6IpYNj-gp"&amp;"jxfobnaDiut0/edit?usp=sharing"",""บึงกาฬ!N337"")+IMPORTRANGE(""https://docs.google.com/spreadsheets/d/1MMPq-JyI6DSgQETxuSiXkesP-P7JHuemnE6QJIa-Nlw/edit?usp=sharing"",""บุรีรัมย์!N337"")+IMPORTRANGE(""https://docs.google.com/spreadsheets/d/1l6IZ8xUPgMrESzc"&amp;"TYwhA1k_tPjeQjJPTqlm8Gd9eU5g/edit?usp=sharing"",""มหาสารคาม!N337"")+IMPORTRANGE(""https://docs.google.com/spreadsheets/d/1uB74YLqNjWX6FObjekfB2NtSYigTQyR2rq9u4Ub2Sq4/edit?usp=sharing"",""มุกดาหาร!N337"")+IMPORTRANGE(""https://docs.google.com/spreadsheets/"&amp;"d/1NexK3geCPxCTO1fzNF8dPec7yZyUx3OaWkFBC9HsQOo/edit?usp=sharing"",""ยโสธร!N337"")+IMPORTRANGE(""https://docs.google.com/spreadsheets/d/1v_cJrbBlyqmnHPReHk44g9NrMRdENNlSy_E_c5M9fIg/edit?usp=sharing"",""ร้อยเอ็ด!N337"")+IMPORTRANGE(""https://docs.google.com"&amp;"/spreadsheets/d/1Ul4RCpCX66NxYADU1QpwAPjOmBzW64SsT11s1wzXw_c/edit?usp=sharing"",""เลย!N337"")+IMPORTRANGE(""https://docs.google.com/spreadsheets/d/1bRrNKwbHDVktQG10isr5vbWRtt5spIZPpkOSWgbT5ug/edit?usp=sharing"",""ศรีสะเกษ!N337"")+IMPORTRANGE(""https://doc"&amp;"s.google.com/spreadsheets/d/17P34_Ow5kFBfdQD0qspb2UuPX5zpi6WMrQzslghyvrI/edit?usp=sharing"",""สกลนคร!N337"")+IMPORTRANGE(""https://docs.google.com/spreadsheets/d/1yswqbM3-AEpThF3ZSUa1AcmHnmRTF1vlJ1CZGcJ8YuU/edit?usp=sharing"",""สุรินทร์!N337"")+IMPORTRANG"&amp;"E(""https://docs.google.com/spreadsheets/d/13JHU_EFbsQOUQ0JSQ3dWy1VTRosIWcDq6Nc99z2qzdc/edit?usp=sharing"",""หนองคาย!N337"")+IMPORTRANGE(""https://docs.google.com/spreadsheets/d/1Hx73zIEgVdDZZaYSTc46Dqv64atFhpr3GelxLbaIN8A/edit?usp=sharing"",""หนองบัวลำภู"&amp;"!N337"")+IMPORTRANGE(""https://docs.google.com/spreadsheets/d/1lFxr3ctmjFN90yc-xV6jrQ9Ty8BKYVBWnAZ15wcNIJc/edit?usp=sharing"",""อำนาจเจริญ!N337"")+IMPORTRANGE(""https://docs.google.com/spreadsheets/d/1gF7RJpRnL-1oyjyeWxs5SFWEH7y8ahOZsQlyp2A2e-A/edit?usp=s"&amp;"haring"",""อุดรธานี!N337"")+IMPORTRANGE(""https://docs.google.com/spreadsheets/d/1kfLP0j3INXRa8bTDpcEmoWewMBV61jlFlfzczfjWIgc/edit?usp=sharing"",""อุบลราชธานี!N337"")"),0)</f>
        <v>0</v>
      </c>
      <c r="O337" s="59">
        <f t="shared" ca="1" si="145"/>
        <v>0</v>
      </c>
      <c r="P337" s="59">
        <f t="shared" ca="1" si="146"/>
        <v>0</v>
      </c>
    </row>
    <row r="338" spans="1:16" ht="18.75" x14ac:dyDescent="0.25">
      <c r="A338" s="157"/>
      <c r="B338" s="53"/>
      <c r="C338" s="53"/>
      <c r="D338" s="53"/>
      <c r="E338" s="60" t="s">
        <v>35</v>
      </c>
      <c r="F338" s="53"/>
      <c r="G338" s="55"/>
      <c r="H338" s="163" t="s">
        <v>12</v>
      </c>
      <c r="I338" s="164"/>
      <c r="J338" s="164"/>
      <c r="K338" s="165"/>
      <c r="L338" s="59">
        <f ca="1">IFERROR(__xludf.DUMMYFUNCTION("IMPORTRANGE(""https://docs.google.com/spreadsheets/d/1yhBcrRPreicbMKl9Bu_Snb2-OcQAF62RKfhTLhJ2eAA/edit?usp=sharing"",""กาฬสินธุ์!L338"")+IMPORTRANGE(""https://docs.google.com/spreadsheets/d/1aHkj4IaQMThhwWwevcOymEh837vdxeC_PycurhTbGFA/edit?usp=sharing"","&amp;"""ขอนแก่น!L338"")+IMPORTRANGE(""https://docs.google.com/spreadsheets/d/1FvTu2DsIWUjP6WCWra38Bkj_oOl_sOMf14r5Fg5srxU/edit?usp=sharing"",""ชัยภูมิ!L338"")+IMPORTRANGE(""https://docs.google.com/spreadsheets/d/1XVB7oCJ3pr-vBUdflwPQ8Z2LlzhnCvZaaYjAfP-647E/edit"&amp;"?usp=sharing"",""นครพนม!L338"")+IMPORTRANGE(""https://docs.google.com/spreadsheets/d/1Mnpb-8PYAgn85W6KOTD40hc_Xc55CaLfHoGAbrZ8tls/edit?usp=sharing"",""นครราชสีมา!L338"")+IMPORTRANGE(""https://docs.google.com/spreadsheets/d/1xoDLGBv9CYbyosIhki0kTq6IpYNj-gp"&amp;"jxfobnaDiut0/edit?usp=sharing"",""บึงกาฬ!L338"")+IMPORTRANGE(""https://docs.google.com/spreadsheets/d/1MMPq-JyI6DSgQETxuSiXkesP-P7JHuemnE6QJIa-Nlw/edit?usp=sharing"",""บุรีรัมย์!L338"")+IMPORTRANGE(""https://docs.google.com/spreadsheets/d/1l6IZ8xUPgMrESzc"&amp;"TYwhA1k_tPjeQjJPTqlm8Gd9eU5g/edit?usp=sharing"",""มหาสารคาม!L338"")+IMPORTRANGE(""https://docs.google.com/spreadsheets/d/1uB74YLqNjWX6FObjekfB2NtSYigTQyR2rq9u4Ub2Sq4/edit?usp=sharing"",""มุกดาหาร!L338"")+IMPORTRANGE(""https://docs.google.com/spreadsheets/"&amp;"d/1NexK3geCPxCTO1fzNF8dPec7yZyUx3OaWkFBC9HsQOo/edit?usp=sharing"",""ยโสธร!L338"")+IMPORTRANGE(""https://docs.google.com/spreadsheets/d/1v_cJrbBlyqmnHPReHk44g9NrMRdENNlSy_E_c5M9fIg/edit?usp=sharing"",""ร้อยเอ็ด!L338"")+IMPORTRANGE(""https://docs.google.com"&amp;"/spreadsheets/d/1Ul4RCpCX66NxYADU1QpwAPjOmBzW64SsT11s1wzXw_c/edit?usp=sharing"",""เลย!L338"")+IMPORTRANGE(""https://docs.google.com/spreadsheets/d/1bRrNKwbHDVktQG10isr5vbWRtt5spIZPpkOSWgbT5ug/edit?usp=sharing"",""ศรีสะเกษ!L338"")+IMPORTRANGE(""https://doc"&amp;"s.google.com/spreadsheets/d/17P34_Ow5kFBfdQD0qspb2UuPX5zpi6WMrQzslghyvrI/edit?usp=sharing"",""สกลนคร!L338"")+IMPORTRANGE(""https://docs.google.com/spreadsheets/d/1yswqbM3-AEpThF3ZSUa1AcmHnmRTF1vlJ1CZGcJ8YuU/edit?usp=sharing"",""สุรินทร์!L338"")+IMPORTRANG"&amp;"E(""https://docs.google.com/spreadsheets/d/13JHU_EFbsQOUQ0JSQ3dWy1VTRosIWcDq6Nc99z2qzdc/edit?usp=sharing"",""หนองคาย!L338"")+IMPORTRANGE(""https://docs.google.com/spreadsheets/d/1Hx73zIEgVdDZZaYSTc46Dqv64atFhpr3GelxLbaIN8A/edit?usp=sharing"",""หนองบัวลำภู"&amp;"!L338"")+IMPORTRANGE(""https://docs.google.com/spreadsheets/d/1lFxr3ctmjFN90yc-xV6jrQ9Ty8BKYVBWnAZ15wcNIJc/edit?usp=sharing"",""อำนาจเจริญ!L338"")+IMPORTRANGE(""https://docs.google.com/spreadsheets/d/1gF7RJpRnL-1oyjyeWxs5SFWEH7y8ahOZsQlyp2A2e-A/edit?usp=s"&amp;"haring"",""อุดรธานี!L338"")+IMPORTRANGE(""https://docs.google.com/spreadsheets/d/1kfLP0j3INXRa8bTDpcEmoWewMBV61jlFlfzczfjWIgc/edit?usp=sharing"",""อุบลราชธานี!L338"")"),2440700)</f>
        <v>2440700</v>
      </c>
      <c r="M338" s="59">
        <f ca="1">IFERROR(__xludf.DUMMYFUNCTION("IMPORTRANGE(""https://docs.google.com/spreadsheets/d/1yhBcrRPreicbMKl9Bu_Snb2-OcQAF62RKfhTLhJ2eAA/edit?usp=sharing"",""กาฬสินธุ์!M338"")+IMPORTRANGE(""https://docs.google.com/spreadsheets/d/1aHkj4IaQMThhwWwevcOymEh837vdxeC_PycurhTbGFA/edit?usp=sharing"","&amp;"""ขอนแก่น!M338"")+IMPORTRANGE(""https://docs.google.com/spreadsheets/d/1FvTu2DsIWUjP6WCWra38Bkj_oOl_sOMf14r5Fg5srxU/edit?usp=sharing"",""ชัยภูมิ!M338"")+IMPORTRANGE(""https://docs.google.com/spreadsheets/d/1XVB7oCJ3pr-vBUdflwPQ8Z2LlzhnCvZaaYjAfP-647E/edit"&amp;"?usp=sharing"",""นครพนม!M338"")+IMPORTRANGE(""https://docs.google.com/spreadsheets/d/1Mnpb-8PYAgn85W6KOTD40hc_Xc55CaLfHoGAbrZ8tls/edit?usp=sharing"",""นครราชสีมา!M338"")+IMPORTRANGE(""https://docs.google.com/spreadsheets/d/1xoDLGBv9CYbyosIhki0kTq6IpYNj-gp"&amp;"jxfobnaDiut0/edit?usp=sharing"",""บึงกาฬ!M338"")+IMPORTRANGE(""https://docs.google.com/spreadsheets/d/1MMPq-JyI6DSgQETxuSiXkesP-P7JHuemnE6QJIa-Nlw/edit?usp=sharing"",""บุรีรัมย์!M338"")+IMPORTRANGE(""https://docs.google.com/spreadsheets/d/1l6IZ8xUPgMrESzc"&amp;"TYwhA1k_tPjeQjJPTqlm8Gd9eU5g/edit?usp=sharing"",""มหาสารคาม!M338"")+IMPORTRANGE(""https://docs.google.com/spreadsheets/d/1uB74YLqNjWX6FObjekfB2NtSYigTQyR2rq9u4Ub2Sq4/edit?usp=sharing"",""มุกดาหาร!M338"")+IMPORTRANGE(""https://docs.google.com/spreadsheets/"&amp;"d/1NexK3geCPxCTO1fzNF8dPec7yZyUx3OaWkFBC9HsQOo/edit?usp=sharing"",""ยโสธร!M338"")+IMPORTRANGE(""https://docs.google.com/spreadsheets/d/1v_cJrbBlyqmnHPReHk44g9NrMRdENNlSy_E_c5M9fIg/edit?usp=sharing"",""ร้อยเอ็ด!M338"")+IMPORTRANGE(""https://docs.google.com"&amp;"/spreadsheets/d/1Ul4RCpCX66NxYADU1QpwAPjOmBzW64SsT11s1wzXw_c/edit?usp=sharing"",""เลย!M338"")+IMPORTRANGE(""https://docs.google.com/spreadsheets/d/1bRrNKwbHDVktQG10isr5vbWRtt5spIZPpkOSWgbT5ug/edit?usp=sharing"",""ศรีสะเกษ!M338"")+IMPORTRANGE(""https://doc"&amp;"s.google.com/spreadsheets/d/17P34_Ow5kFBfdQD0qspb2UuPX5zpi6WMrQzslghyvrI/edit?usp=sharing"",""สกลนคร!M338"")+IMPORTRANGE(""https://docs.google.com/spreadsheets/d/1yswqbM3-AEpThF3ZSUa1AcmHnmRTF1vlJ1CZGcJ8YuU/edit?usp=sharing"",""สุรินทร์!M338"")+IMPORTRANG"&amp;"E(""https://docs.google.com/spreadsheets/d/13JHU_EFbsQOUQ0JSQ3dWy1VTRosIWcDq6Nc99z2qzdc/edit?usp=sharing"",""หนองคาย!M338"")+IMPORTRANGE(""https://docs.google.com/spreadsheets/d/1Hx73zIEgVdDZZaYSTc46Dqv64atFhpr3GelxLbaIN8A/edit?usp=sharing"",""หนองบัวลำภู"&amp;"!M338"")+IMPORTRANGE(""https://docs.google.com/spreadsheets/d/1lFxr3ctmjFN90yc-xV6jrQ9Ty8BKYVBWnAZ15wcNIJc/edit?usp=sharing"",""อำนาจเจริญ!M338"")+IMPORTRANGE(""https://docs.google.com/spreadsheets/d/1gF7RJpRnL-1oyjyeWxs5SFWEH7y8ahOZsQlyp2A2e-A/edit?usp=s"&amp;"haring"",""อุดรธานี!M338"")+IMPORTRANGE(""https://docs.google.com/spreadsheets/d/1kfLP0j3INXRa8bTDpcEmoWewMBV61jlFlfzczfjWIgc/edit?usp=sharing"",""อุบลราชธานี!M338"")"),1918000)</f>
        <v>1918000</v>
      </c>
      <c r="N338" s="59">
        <f ca="1">IFERROR(__xludf.DUMMYFUNCTION("IMPORTRANGE(""https://docs.google.com/spreadsheets/d/1yhBcrRPreicbMKl9Bu_Snb2-OcQAF62RKfhTLhJ2eAA/edit?usp=sharing"",""กาฬสินธุ์!N338"")+IMPORTRANGE(""https://docs.google.com/spreadsheets/d/1aHkj4IaQMThhwWwevcOymEh837vdxeC_PycurhTbGFA/edit?usp=sharing"","&amp;"""ขอนแก่น!N338"")+IMPORTRANGE(""https://docs.google.com/spreadsheets/d/1FvTu2DsIWUjP6WCWra38Bkj_oOl_sOMf14r5Fg5srxU/edit?usp=sharing"",""ชัยภูมิ!N338"")+IMPORTRANGE(""https://docs.google.com/spreadsheets/d/1XVB7oCJ3pr-vBUdflwPQ8Z2LlzhnCvZaaYjAfP-647E/edit"&amp;"?usp=sharing"",""นครพนม!N338"")+IMPORTRANGE(""https://docs.google.com/spreadsheets/d/1Mnpb-8PYAgn85W6KOTD40hc_Xc55CaLfHoGAbrZ8tls/edit?usp=sharing"",""นครราชสีมา!N338"")+IMPORTRANGE(""https://docs.google.com/spreadsheets/d/1xoDLGBv9CYbyosIhki0kTq6IpYNj-gp"&amp;"jxfobnaDiut0/edit?usp=sharing"",""บึงกาฬ!N338"")+IMPORTRANGE(""https://docs.google.com/spreadsheets/d/1MMPq-JyI6DSgQETxuSiXkesP-P7JHuemnE6QJIa-Nlw/edit?usp=sharing"",""บุรีรัมย์!N338"")+IMPORTRANGE(""https://docs.google.com/spreadsheets/d/1l6IZ8xUPgMrESzc"&amp;"TYwhA1k_tPjeQjJPTqlm8Gd9eU5g/edit?usp=sharing"",""มหาสารคาม!N338"")+IMPORTRANGE(""https://docs.google.com/spreadsheets/d/1uB74YLqNjWX6FObjekfB2NtSYigTQyR2rq9u4Ub2Sq4/edit?usp=sharing"",""มุกดาหาร!N338"")+IMPORTRANGE(""https://docs.google.com/spreadsheets/"&amp;"d/1NexK3geCPxCTO1fzNF8dPec7yZyUx3OaWkFBC9HsQOo/edit?usp=sharing"",""ยโสธร!N338"")+IMPORTRANGE(""https://docs.google.com/spreadsheets/d/1v_cJrbBlyqmnHPReHk44g9NrMRdENNlSy_E_c5M9fIg/edit?usp=sharing"",""ร้อยเอ็ด!N338"")+IMPORTRANGE(""https://docs.google.com"&amp;"/spreadsheets/d/1Ul4RCpCX66NxYADU1QpwAPjOmBzW64SsT11s1wzXw_c/edit?usp=sharing"",""เลย!N338"")+IMPORTRANGE(""https://docs.google.com/spreadsheets/d/1bRrNKwbHDVktQG10isr5vbWRtt5spIZPpkOSWgbT5ug/edit?usp=sharing"",""ศรีสะเกษ!N338"")+IMPORTRANGE(""https://doc"&amp;"s.google.com/spreadsheets/d/17P34_Ow5kFBfdQD0qspb2UuPX5zpi6WMrQzslghyvrI/edit?usp=sharing"",""สกลนคร!N338"")+IMPORTRANGE(""https://docs.google.com/spreadsheets/d/1yswqbM3-AEpThF3ZSUa1AcmHnmRTF1vlJ1CZGcJ8YuU/edit?usp=sharing"",""สุรินทร์!N338"")+IMPORTRANG"&amp;"E(""https://docs.google.com/spreadsheets/d/13JHU_EFbsQOUQ0JSQ3dWy1VTRosIWcDq6Nc99z2qzdc/edit?usp=sharing"",""หนองคาย!N338"")+IMPORTRANGE(""https://docs.google.com/spreadsheets/d/1Hx73zIEgVdDZZaYSTc46Dqv64atFhpr3GelxLbaIN8A/edit?usp=sharing"",""หนองบัวลำภู"&amp;"!N338"")+IMPORTRANGE(""https://docs.google.com/spreadsheets/d/1lFxr3ctmjFN90yc-xV6jrQ9Ty8BKYVBWnAZ15wcNIJc/edit?usp=sharing"",""อำนาจเจริญ!N338"")+IMPORTRANGE(""https://docs.google.com/spreadsheets/d/1gF7RJpRnL-1oyjyeWxs5SFWEH7y8ahOZsQlyp2A2e-A/edit?usp=s"&amp;"haring"",""อุดรธานี!N338"")+IMPORTRANGE(""https://docs.google.com/spreadsheets/d/1kfLP0j3INXRa8bTDpcEmoWewMBV61jlFlfzczfjWIgc/edit?usp=sharing"",""อุบลราชธานี!N338"")"),529405)</f>
        <v>529405</v>
      </c>
      <c r="O338" s="59">
        <f t="shared" ca="1" si="145"/>
        <v>21.690703486704635</v>
      </c>
      <c r="P338" s="59">
        <f t="shared" ca="1" si="146"/>
        <v>27.601929092805005</v>
      </c>
    </row>
    <row r="339" spans="1:16" ht="18.75" x14ac:dyDescent="0.25">
      <c r="A339" s="157"/>
      <c r="B339" s="53"/>
      <c r="C339" s="53"/>
      <c r="D339" s="54" t="s">
        <v>21</v>
      </c>
      <c r="E339" s="53"/>
      <c r="F339" s="53"/>
      <c r="G339" s="55"/>
      <c r="H339" s="166" t="s">
        <v>12</v>
      </c>
      <c r="I339" s="164"/>
      <c r="J339" s="164"/>
      <c r="K339" s="165"/>
      <c r="L339" s="59">
        <f t="shared" ref="L339:N339" ca="1" si="150">L340+L341</f>
        <v>0</v>
      </c>
      <c r="M339" s="59">
        <f t="shared" ca="1" si="150"/>
        <v>0</v>
      </c>
      <c r="N339" s="59">
        <f t="shared" ca="1" si="150"/>
        <v>0</v>
      </c>
      <c r="O339" s="59">
        <f t="shared" ca="1" si="145"/>
        <v>0</v>
      </c>
      <c r="P339" s="59">
        <f t="shared" ca="1" si="146"/>
        <v>0</v>
      </c>
    </row>
    <row r="340" spans="1:16" ht="18.75" x14ac:dyDescent="0.25">
      <c r="A340" s="157"/>
      <c r="B340" s="53"/>
      <c r="C340" s="53"/>
      <c r="D340" s="53"/>
      <c r="E340" s="60" t="s">
        <v>18</v>
      </c>
      <c r="F340" s="53"/>
      <c r="G340" s="55"/>
      <c r="H340" s="163" t="s">
        <v>12</v>
      </c>
      <c r="I340" s="164"/>
      <c r="J340" s="164"/>
      <c r="K340" s="165"/>
      <c r="L340" s="59">
        <f ca="1">IFERROR(__xludf.DUMMYFUNCTION("IMPORTRANGE(""https://docs.google.com/spreadsheets/d/1yhBcrRPreicbMKl9Bu_Snb2-OcQAF62RKfhTLhJ2eAA/edit?usp=sharing"",""กาฬสินธุ์!L340"")+IMPORTRANGE(""https://docs.google.com/spreadsheets/d/1aHkj4IaQMThhwWwevcOymEh837vdxeC_PycurhTbGFA/edit?usp=sharing"","&amp;"""ขอนแก่น!L340"")+IMPORTRANGE(""https://docs.google.com/spreadsheets/d/1FvTu2DsIWUjP6WCWra38Bkj_oOl_sOMf14r5Fg5srxU/edit?usp=sharing"",""ชัยภูมิ!L340"")+IMPORTRANGE(""https://docs.google.com/spreadsheets/d/1XVB7oCJ3pr-vBUdflwPQ8Z2LlzhnCvZaaYjAfP-647E/edit"&amp;"?usp=sharing"",""นครพนม!L340"")+IMPORTRANGE(""https://docs.google.com/spreadsheets/d/1Mnpb-8PYAgn85W6KOTD40hc_Xc55CaLfHoGAbrZ8tls/edit?usp=sharing"",""นครราชสีมา!L340"")+IMPORTRANGE(""https://docs.google.com/spreadsheets/d/1xoDLGBv9CYbyosIhki0kTq6IpYNj-gp"&amp;"jxfobnaDiut0/edit?usp=sharing"",""บึงกาฬ!L340"")+IMPORTRANGE(""https://docs.google.com/spreadsheets/d/1MMPq-JyI6DSgQETxuSiXkesP-P7JHuemnE6QJIa-Nlw/edit?usp=sharing"",""บุรีรัมย์!L340"")+IMPORTRANGE(""https://docs.google.com/spreadsheets/d/1l6IZ8xUPgMrESzc"&amp;"TYwhA1k_tPjeQjJPTqlm8Gd9eU5g/edit?usp=sharing"",""มหาสารคาม!L340"")+IMPORTRANGE(""https://docs.google.com/spreadsheets/d/1uB74YLqNjWX6FObjekfB2NtSYigTQyR2rq9u4Ub2Sq4/edit?usp=sharing"",""มุกดาหาร!L340"")+IMPORTRANGE(""https://docs.google.com/spreadsheets/"&amp;"d/1NexK3geCPxCTO1fzNF8dPec7yZyUx3OaWkFBC9HsQOo/edit?usp=sharing"",""ยโสธร!L340"")+IMPORTRANGE(""https://docs.google.com/spreadsheets/d/1v_cJrbBlyqmnHPReHk44g9NrMRdENNlSy_E_c5M9fIg/edit?usp=sharing"",""ร้อยเอ็ด!L340"")+IMPORTRANGE(""https://docs.google.com"&amp;"/spreadsheets/d/1Ul4RCpCX66NxYADU1QpwAPjOmBzW64SsT11s1wzXw_c/edit?usp=sharing"",""เลย!L340"")+IMPORTRANGE(""https://docs.google.com/spreadsheets/d/1bRrNKwbHDVktQG10isr5vbWRtt5spIZPpkOSWgbT5ug/edit?usp=sharing"",""ศรีสะเกษ!L340"")+IMPORTRANGE(""https://doc"&amp;"s.google.com/spreadsheets/d/17P34_Ow5kFBfdQD0qspb2UuPX5zpi6WMrQzslghyvrI/edit?usp=sharing"",""สกลนคร!L340"")+IMPORTRANGE(""https://docs.google.com/spreadsheets/d/1yswqbM3-AEpThF3ZSUa1AcmHnmRTF1vlJ1CZGcJ8YuU/edit?usp=sharing"",""สุรินทร์!L340"")+IMPORTRANG"&amp;"E(""https://docs.google.com/spreadsheets/d/13JHU_EFbsQOUQ0JSQ3dWy1VTRosIWcDq6Nc99z2qzdc/edit?usp=sharing"",""หนองคาย!L340"")+IMPORTRANGE(""https://docs.google.com/spreadsheets/d/1Hx73zIEgVdDZZaYSTc46Dqv64atFhpr3GelxLbaIN8A/edit?usp=sharing"",""หนองบัวลำภู"&amp;"!L340"")+IMPORTRANGE(""https://docs.google.com/spreadsheets/d/1lFxr3ctmjFN90yc-xV6jrQ9Ty8BKYVBWnAZ15wcNIJc/edit?usp=sharing"",""อำนาจเจริญ!L340"")+IMPORTRANGE(""https://docs.google.com/spreadsheets/d/1gF7RJpRnL-1oyjyeWxs5SFWEH7y8ahOZsQlyp2A2e-A/edit?usp=s"&amp;"haring"",""อุดรธานี!L340"")+IMPORTRANGE(""https://docs.google.com/spreadsheets/d/1kfLP0j3INXRa8bTDpcEmoWewMBV61jlFlfzczfjWIgc/edit?usp=sharing"",""อุบลราชธานี!L340"")"),0)</f>
        <v>0</v>
      </c>
      <c r="M340" s="59">
        <f ca="1">IFERROR(__xludf.DUMMYFUNCTION("IMPORTRANGE(""https://docs.google.com/spreadsheets/d/1yhBcrRPreicbMKl9Bu_Snb2-OcQAF62RKfhTLhJ2eAA/edit?usp=sharing"",""กาฬสินธุ์!M340"")+IMPORTRANGE(""https://docs.google.com/spreadsheets/d/1aHkj4IaQMThhwWwevcOymEh837vdxeC_PycurhTbGFA/edit?usp=sharing"","&amp;"""ขอนแก่น!M340"")+IMPORTRANGE(""https://docs.google.com/spreadsheets/d/1FvTu2DsIWUjP6WCWra38Bkj_oOl_sOMf14r5Fg5srxU/edit?usp=sharing"",""ชัยภูมิ!M340"")+IMPORTRANGE(""https://docs.google.com/spreadsheets/d/1XVB7oCJ3pr-vBUdflwPQ8Z2LlzhnCvZaaYjAfP-647E/edit"&amp;"?usp=sharing"",""นครพนม!M340"")+IMPORTRANGE(""https://docs.google.com/spreadsheets/d/1Mnpb-8PYAgn85W6KOTD40hc_Xc55CaLfHoGAbrZ8tls/edit?usp=sharing"",""นครราชสีมา!M340"")+IMPORTRANGE(""https://docs.google.com/spreadsheets/d/1xoDLGBv9CYbyosIhki0kTq6IpYNj-gp"&amp;"jxfobnaDiut0/edit?usp=sharing"",""บึงกาฬ!M340"")+IMPORTRANGE(""https://docs.google.com/spreadsheets/d/1MMPq-JyI6DSgQETxuSiXkesP-P7JHuemnE6QJIa-Nlw/edit?usp=sharing"",""บุรีรัมย์!M340"")+IMPORTRANGE(""https://docs.google.com/spreadsheets/d/1l6IZ8xUPgMrESzc"&amp;"TYwhA1k_tPjeQjJPTqlm8Gd9eU5g/edit?usp=sharing"",""มหาสารคาม!M340"")+IMPORTRANGE(""https://docs.google.com/spreadsheets/d/1uB74YLqNjWX6FObjekfB2NtSYigTQyR2rq9u4Ub2Sq4/edit?usp=sharing"",""มุกดาหาร!M340"")+IMPORTRANGE(""https://docs.google.com/spreadsheets/"&amp;"d/1NexK3geCPxCTO1fzNF8dPec7yZyUx3OaWkFBC9HsQOo/edit?usp=sharing"",""ยโสธร!M340"")+IMPORTRANGE(""https://docs.google.com/spreadsheets/d/1v_cJrbBlyqmnHPReHk44g9NrMRdENNlSy_E_c5M9fIg/edit?usp=sharing"",""ร้อยเอ็ด!M340"")+IMPORTRANGE(""https://docs.google.com"&amp;"/spreadsheets/d/1Ul4RCpCX66NxYADU1QpwAPjOmBzW64SsT11s1wzXw_c/edit?usp=sharing"",""เลย!M340"")+IMPORTRANGE(""https://docs.google.com/spreadsheets/d/1bRrNKwbHDVktQG10isr5vbWRtt5spIZPpkOSWgbT5ug/edit?usp=sharing"",""ศรีสะเกษ!M340"")+IMPORTRANGE(""https://doc"&amp;"s.google.com/spreadsheets/d/17P34_Ow5kFBfdQD0qspb2UuPX5zpi6WMrQzslghyvrI/edit?usp=sharing"",""สกลนคร!M340"")+IMPORTRANGE(""https://docs.google.com/spreadsheets/d/1yswqbM3-AEpThF3ZSUa1AcmHnmRTF1vlJ1CZGcJ8YuU/edit?usp=sharing"",""สุรินทร์!M340"")+IMPORTRANG"&amp;"E(""https://docs.google.com/spreadsheets/d/13JHU_EFbsQOUQ0JSQ3dWy1VTRosIWcDq6Nc99z2qzdc/edit?usp=sharing"",""หนองคาย!M340"")+IMPORTRANGE(""https://docs.google.com/spreadsheets/d/1Hx73zIEgVdDZZaYSTc46Dqv64atFhpr3GelxLbaIN8A/edit?usp=sharing"",""หนองบัวลำภู"&amp;"!M340"")+IMPORTRANGE(""https://docs.google.com/spreadsheets/d/1lFxr3ctmjFN90yc-xV6jrQ9Ty8BKYVBWnAZ15wcNIJc/edit?usp=sharing"",""อำนาจเจริญ!M340"")+IMPORTRANGE(""https://docs.google.com/spreadsheets/d/1gF7RJpRnL-1oyjyeWxs5SFWEH7y8ahOZsQlyp2A2e-A/edit?usp=s"&amp;"haring"",""อุดรธานี!M340"")+IMPORTRANGE(""https://docs.google.com/spreadsheets/d/1kfLP0j3INXRa8bTDpcEmoWewMBV61jlFlfzczfjWIgc/edit?usp=sharing"",""อุบลราชธานี!M340"")"),0)</f>
        <v>0</v>
      </c>
      <c r="N340" s="59">
        <f ca="1">IFERROR(__xludf.DUMMYFUNCTION("IMPORTRANGE(""https://docs.google.com/spreadsheets/d/1yhBcrRPreicbMKl9Bu_Snb2-OcQAF62RKfhTLhJ2eAA/edit?usp=sharing"",""กาฬสินธุ์!N340"")+IMPORTRANGE(""https://docs.google.com/spreadsheets/d/1aHkj4IaQMThhwWwevcOymEh837vdxeC_PycurhTbGFA/edit?usp=sharing"","&amp;"""ขอนแก่น!N340"")+IMPORTRANGE(""https://docs.google.com/spreadsheets/d/1FvTu2DsIWUjP6WCWra38Bkj_oOl_sOMf14r5Fg5srxU/edit?usp=sharing"",""ชัยภูมิ!N340"")+IMPORTRANGE(""https://docs.google.com/spreadsheets/d/1XVB7oCJ3pr-vBUdflwPQ8Z2LlzhnCvZaaYjAfP-647E/edit"&amp;"?usp=sharing"",""นครพนม!N340"")+IMPORTRANGE(""https://docs.google.com/spreadsheets/d/1Mnpb-8PYAgn85W6KOTD40hc_Xc55CaLfHoGAbrZ8tls/edit?usp=sharing"",""นครราชสีมา!N340"")+IMPORTRANGE(""https://docs.google.com/spreadsheets/d/1xoDLGBv9CYbyosIhki0kTq6IpYNj-gp"&amp;"jxfobnaDiut0/edit?usp=sharing"",""บึงกาฬ!N340"")+IMPORTRANGE(""https://docs.google.com/spreadsheets/d/1MMPq-JyI6DSgQETxuSiXkesP-P7JHuemnE6QJIa-Nlw/edit?usp=sharing"",""บุรีรัมย์!N340"")+IMPORTRANGE(""https://docs.google.com/spreadsheets/d/1l6IZ8xUPgMrESzc"&amp;"TYwhA1k_tPjeQjJPTqlm8Gd9eU5g/edit?usp=sharing"",""มหาสารคาม!N340"")+IMPORTRANGE(""https://docs.google.com/spreadsheets/d/1uB74YLqNjWX6FObjekfB2NtSYigTQyR2rq9u4Ub2Sq4/edit?usp=sharing"",""มุกดาหาร!N340"")+IMPORTRANGE(""https://docs.google.com/spreadsheets/"&amp;"d/1NexK3geCPxCTO1fzNF8dPec7yZyUx3OaWkFBC9HsQOo/edit?usp=sharing"",""ยโสธร!N340"")+IMPORTRANGE(""https://docs.google.com/spreadsheets/d/1v_cJrbBlyqmnHPReHk44g9NrMRdENNlSy_E_c5M9fIg/edit?usp=sharing"",""ร้อยเอ็ด!N340"")+IMPORTRANGE(""https://docs.google.com"&amp;"/spreadsheets/d/1Ul4RCpCX66NxYADU1QpwAPjOmBzW64SsT11s1wzXw_c/edit?usp=sharing"",""เลย!N340"")+IMPORTRANGE(""https://docs.google.com/spreadsheets/d/1bRrNKwbHDVktQG10isr5vbWRtt5spIZPpkOSWgbT5ug/edit?usp=sharing"",""ศรีสะเกษ!N340"")+IMPORTRANGE(""https://doc"&amp;"s.google.com/spreadsheets/d/17P34_Ow5kFBfdQD0qspb2UuPX5zpi6WMrQzslghyvrI/edit?usp=sharing"",""สกลนคร!N340"")+IMPORTRANGE(""https://docs.google.com/spreadsheets/d/1yswqbM3-AEpThF3ZSUa1AcmHnmRTF1vlJ1CZGcJ8YuU/edit?usp=sharing"",""สุรินทร์!N340"")+IMPORTRANG"&amp;"E(""https://docs.google.com/spreadsheets/d/13JHU_EFbsQOUQ0JSQ3dWy1VTRosIWcDq6Nc99z2qzdc/edit?usp=sharing"",""หนองคาย!N340"")+IMPORTRANGE(""https://docs.google.com/spreadsheets/d/1Hx73zIEgVdDZZaYSTc46Dqv64atFhpr3GelxLbaIN8A/edit?usp=sharing"",""หนองบัวลำภู"&amp;"!N340"")+IMPORTRANGE(""https://docs.google.com/spreadsheets/d/1lFxr3ctmjFN90yc-xV6jrQ9Ty8BKYVBWnAZ15wcNIJc/edit?usp=sharing"",""อำนาจเจริญ!N340"")+IMPORTRANGE(""https://docs.google.com/spreadsheets/d/1gF7RJpRnL-1oyjyeWxs5SFWEH7y8ahOZsQlyp2A2e-A/edit?usp=s"&amp;"haring"",""อุดรธานี!N340"")+IMPORTRANGE(""https://docs.google.com/spreadsheets/d/1kfLP0j3INXRa8bTDpcEmoWewMBV61jlFlfzczfjWIgc/edit?usp=sharing"",""อุบลราชธานี!N340"")"),0)</f>
        <v>0</v>
      </c>
      <c r="O340" s="59">
        <f t="shared" ca="1" si="145"/>
        <v>0</v>
      </c>
      <c r="P340" s="59">
        <f t="shared" ca="1" si="146"/>
        <v>0</v>
      </c>
    </row>
    <row r="341" spans="1:16" ht="18.75" x14ac:dyDescent="0.25">
      <c r="A341" s="157"/>
      <c r="B341" s="53"/>
      <c r="C341" s="53"/>
      <c r="D341" s="53"/>
      <c r="E341" s="60" t="s">
        <v>19</v>
      </c>
      <c r="F341" s="53"/>
      <c r="G341" s="55"/>
      <c r="H341" s="166" t="s">
        <v>12</v>
      </c>
      <c r="I341" s="164"/>
      <c r="J341" s="164"/>
      <c r="K341" s="165"/>
      <c r="L341" s="59">
        <f ca="1">IFERROR(__xludf.DUMMYFUNCTION("IMPORTRANGE(""https://docs.google.com/spreadsheets/d/1yhBcrRPreicbMKl9Bu_Snb2-OcQAF62RKfhTLhJ2eAA/edit?usp=sharing"",""กาฬสินธุ์!L341"")+IMPORTRANGE(""https://docs.google.com/spreadsheets/d/1aHkj4IaQMThhwWwevcOymEh837vdxeC_PycurhTbGFA/edit?usp=sharing"","&amp;"""ขอนแก่น!L341"")+IMPORTRANGE(""https://docs.google.com/spreadsheets/d/1FvTu2DsIWUjP6WCWra38Bkj_oOl_sOMf14r5Fg5srxU/edit?usp=sharing"",""ชัยภูมิ!L341"")+IMPORTRANGE(""https://docs.google.com/spreadsheets/d/1XVB7oCJ3pr-vBUdflwPQ8Z2LlzhnCvZaaYjAfP-647E/edit"&amp;"?usp=sharing"",""นครพนม!L341"")+IMPORTRANGE(""https://docs.google.com/spreadsheets/d/1Mnpb-8PYAgn85W6KOTD40hc_Xc55CaLfHoGAbrZ8tls/edit?usp=sharing"",""นครราชสีมา!L341"")+IMPORTRANGE(""https://docs.google.com/spreadsheets/d/1xoDLGBv9CYbyosIhki0kTq6IpYNj-gp"&amp;"jxfobnaDiut0/edit?usp=sharing"",""บึงกาฬ!L341"")+IMPORTRANGE(""https://docs.google.com/spreadsheets/d/1MMPq-JyI6DSgQETxuSiXkesP-P7JHuemnE6QJIa-Nlw/edit?usp=sharing"",""บุรีรัมย์!L341"")+IMPORTRANGE(""https://docs.google.com/spreadsheets/d/1l6IZ8xUPgMrESzc"&amp;"TYwhA1k_tPjeQjJPTqlm8Gd9eU5g/edit?usp=sharing"",""มหาสารคาม!L341"")+IMPORTRANGE(""https://docs.google.com/spreadsheets/d/1uB74YLqNjWX6FObjekfB2NtSYigTQyR2rq9u4Ub2Sq4/edit?usp=sharing"",""มุกดาหาร!L341"")+IMPORTRANGE(""https://docs.google.com/spreadsheets/"&amp;"d/1NexK3geCPxCTO1fzNF8dPec7yZyUx3OaWkFBC9HsQOo/edit?usp=sharing"",""ยโสธร!L341"")+IMPORTRANGE(""https://docs.google.com/spreadsheets/d/1v_cJrbBlyqmnHPReHk44g9NrMRdENNlSy_E_c5M9fIg/edit?usp=sharing"",""ร้อยเอ็ด!L341"")+IMPORTRANGE(""https://docs.google.com"&amp;"/spreadsheets/d/1Ul4RCpCX66NxYADU1QpwAPjOmBzW64SsT11s1wzXw_c/edit?usp=sharing"",""เลย!L341"")+IMPORTRANGE(""https://docs.google.com/spreadsheets/d/1bRrNKwbHDVktQG10isr5vbWRtt5spIZPpkOSWgbT5ug/edit?usp=sharing"",""ศรีสะเกษ!L341"")+IMPORTRANGE(""https://doc"&amp;"s.google.com/spreadsheets/d/17P34_Ow5kFBfdQD0qspb2UuPX5zpi6WMrQzslghyvrI/edit?usp=sharing"",""สกลนคร!L341"")+IMPORTRANGE(""https://docs.google.com/spreadsheets/d/1yswqbM3-AEpThF3ZSUa1AcmHnmRTF1vlJ1CZGcJ8YuU/edit?usp=sharing"",""สุรินทร์!L341"")+IMPORTRANG"&amp;"E(""https://docs.google.com/spreadsheets/d/13JHU_EFbsQOUQ0JSQ3dWy1VTRosIWcDq6Nc99z2qzdc/edit?usp=sharing"",""หนองคาย!L341"")+IMPORTRANGE(""https://docs.google.com/spreadsheets/d/1Hx73zIEgVdDZZaYSTc46Dqv64atFhpr3GelxLbaIN8A/edit?usp=sharing"",""หนองบัวลำภู"&amp;"!L341"")+IMPORTRANGE(""https://docs.google.com/spreadsheets/d/1lFxr3ctmjFN90yc-xV6jrQ9Ty8BKYVBWnAZ15wcNIJc/edit?usp=sharing"",""อำนาจเจริญ!L341"")+IMPORTRANGE(""https://docs.google.com/spreadsheets/d/1gF7RJpRnL-1oyjyeWxs5SFWEH7y8ahOZsQlyp2A2e-A/edit?usp=s"&amp;"haring"",""อุดรธานี!L341"")+IMPORTRANGE(""https://docs.google.com/spreadsheets/d/1kfLP0j3INXRa8bTDpcEmoWewMBV61jlFlfzczfjWIgc/edit?usp=sharing"",""อุบลราชธานี!L341"")"),0)</f>
        <v>0</v>
      </c>
      <c r="M341" s="59">
        <f ca="1">IFERROR(__xludf.DUMMYFUNCTION("IMPORTRANGE(""https://docs.google.com/spreadsheets/d/1yhBcrRPreicbMKl9Bu_Snb2-OcQAF62RKfhTLhJ2eAA/edit?usp=sharing"",""กาฬสินธุ์!M341"")+IMPORTRANGE(""https://docs.google.com/spreadsheets/d/1aHkj4IaQMThhwWwevcOymEh837vdxeC_PycurhTbGFA/edit?usp=sharing"","&amp;"""ขอนแก่น!M341"")+IMPORTRANGE(""https://docs.google.com/spreadsheets/d/1FvTu2DsIWUjP6WCWra38Bkj_oOl_sOMf14r5Fg5srxU/edit?usp=sharing"",""ชัยภูมิ!M341"")+IMPORTRANGE(""https://docs.google.com/spreadsheets/d/1XVB7oCJ3pr-vBUdflwPQ8Z2LlzhnCvZaaYjAfP-647E/edit"&amp;"?usp=sharing"",""นครพนม!M341"")+IMPORTRANGE(""https://docs.google.com/spreadsheets/d/1Mnpb-8PYAgn85W6KOTD40hc_Xc55CaLfHoGAbrZ8tls/edit?usp=sharing"",""นครราชสีมา!M341"")+IMPORTRANGE(""https://docs.google.com/spreadsheets/d/1xoDLGBv9CYbyosIhki0kTq6IpYNj-gp"&amp;"jxfobnaDiut0/edit?usp=sharing"",""บึงกาฬ!M341"")+IMPORTRANGE(""https://docs.google.com/spreadsheets/d/1MMPq-JyI6DSgQETxuSiXkesP-P7JHuemnE6QJIa-Nlw/edit?usp=sharing"",""บุรีรัมย์!M341"")+IMPORTRANGE(""https://docs.google.com/spreadsheets/d/1l6IZ8xUPgMrESzc"&amp;"TYwhA1k_tPjeQjJPTqlm8Gd9eU5g/edit?usp=sharing"",""มหาสารคาม!M341"")+IMPORTRANGE(""https://docs.google.com/spreadsheets/d/1uB74YLqNjWX6FObjekfB2NtSYigTQyR2rq9u4Ub2Sq4/edit?usp=sharing"",""มุกดาหาร!M341"")+IMPORTRANGE(""https://docs.google.com/spreadsheets/"&amp;"d/1NexK3geCPxCTO1fzNF8dPec7yZyUx3OaWkFBC9HsQOo/edit?usp=sharing"",""ยโสธร!M341"")+IMPORTRANGE(""https://docs.google.com/spreadsheets/d/1v_cJrbBlyqmnHPReHk44g9NrMRdENNlSy_E_c5M9fIg/edit?usp=sharing"",""ร้อยเอ็ด!M341"")+IMPORTRANGE(""https://docs.google.com"&amp;"/spreadsheets/d/1Ul4RCpCX66NxYADU1QpwAPjOmBzW64SsT11s1wzXw_c/edit?usp=sharing"",""เลย!M341"")+IMPORTRANGE(""https://docs.google.com/spreadsheets/d/1bRrNKwbHDVktQG10isr5vbWRtt5spIZPpkOSWgbT5ug/edit?usp=sharing"",""ศรีสะเกษ!M341"")+IMPORTRANGE(""https://doc"&amp;"s.google.com/spreadsheets/d/17P34_Ow5kFBfdQD0qspb2UuPX5zpi6WMrQzslghyvrI/edit?usp=sharing"",""สกลนคร!M341"")+IMPORTRANGE(""https://docs.google.com/spreadsheets/d/1yswqbM3-AEpThF3ZSUa1AcmHnmRTF1vlJ1CZGcJ8YuU/edit?usp=sharing"",""สุรินทร์!M341"")+IMPORTRANG"&amp;"E(""https://docs.google.com/spreadsheets/d/13JHU_EFbsQOUQ0JSQ3dWy1VTRosIWcDq6Nc99z2qzdc/edit?usp=sharing"",""หนองคาย!M341"")+IMPORTRANGE(""https://docs.google.com/spreadsheets/d/1Hx73zIEgVdDZZaYSTc46Dqv64atFhpr3GelxLbaIN8A/edit?usp=sharing"",""หนองบัวลำภู"&amp;"!M341"")+IMPORTRANGE(""https://docs.google.com/spreadsheets/d/1lFxr3ctmjFN90yc-xV6jrQ9Ty8BKYVBWnAZ15wcNIJc/edit?usp=sharing"",""อำนาจเจริญ!M341"")+IMPORTRANGE(""https://docs.google.com/spreadsheets/d/1gF7RJpRnL-1oyjyeWxs5SFWEH7y8ahOZsQlyp2A2e-A/edit?usp=s"&amp;"haring"",""อุดรธานี!M341"")+IMPORTRANGE(""https://docs.google.com/spreadsheets/d/1kfLP0j3INXRa8bTDpcEmoWewMBV61jlFlfzczfjWIgc/edit?usp=sharing"",""อุบลราชธานี!M341"")"),0)</f>
        <v>0</v>
      </c>
      <c r="N341" s="59">
        <f ca="1">IFERROR(__xludf.DUMMYFUNCTION("IMPORTRANGE(""https://docs.google.com/spreadsheets/d/1yhBcrRPreicbMKl9Bu_Snb2-OcQAF62RKfhTLhJ2eAA/edit?usp=sharing"",""กาฬสินธุ์!N341"")+IMPORTRANGE(""https://docs.google.com/spreadsheets/d/1aHkj4IaQMThhwWwevcOymEh837vdxeC_PycurhTbGFA/edit?usp=sharing"","&amp;"""ขอนแก่น!N341"")+IMPORTRANGE(""https://docs.google.com/spreadsheets/d/1FvTu2DsIWUjP6WCWra38Bkj_oOl_sOMf14r5Fg5srxU/edit?usp=sharing"",""ชัยภูมิ!N341"")+IMPORTRANGE(""https://docs.google.com/spreadsheets/d/1XVB7oCJ3pr-vBUdflwPQ8Z2LlzhnCvZaaYjAfP-647E/edit"&amp;"?usp=sharing"",""นครพนม!N341"")+IMPORTRANGE(""https://docs.google.com/spreadsheets/d/1Mnpb-8PYAgn85W6KOTD40hc_Xc55CaLfHoGAbrZ8tls/edit?usp=sharing"",""นครราชสีมา!N341"")+IMPORTRANGE(""https://docs.google.com/spreadsheets/d/1xoDLGBv9CYbyosIhki0kTq6IpYNj-gp"&amp;"jxfobnaDiut0/edit?usp=sharing"",""บึงกาฬ!N341"")+IMPORTRANGE(""https://docs.google.com/spreadsheets/d/1MMPq-JyI6DSgQETxuSiXkesP-P7JHuemnE6QJIa-Nlw/edit?usp=sharing"",""บุรีรัมย์!N341"")+IMPORTRANGE(""https://docs.google.com/spreadsheets/d/1l6IZ8xUPgMrESzc"&amp;"TYwhA1k_tPjeQjJPTqlm8Gd9eU5g/edit?usp=sharing"",""มหาสารคาม!N341"")+IMPORTRANGE(""https://docs.google.com/spreadsheets/d/1uB74YLqNjWX6FObjekfB2NtSYigTQyR2rq9u4Ub2Sq4/edit?usp=sharing"",""มุกดาหาร!N341"")+IMPORTRANGE(""https://docs.google.com/spreadsheets/"&amp;"d/1NexK3geCPxCTO1fzNF8dPec7yZyUx3OaWkFBC9HsQOo/edit?usp=sharing"",""ยโสธร!N341"")+IMPORTRANGE(""https://docs.google.com/spreadsheets/d/1v_cJrbBlyqmnHPReHk44g9NrMRdENNlSy_E_c5M9fIg/edit?usp=sharing"",""ร้อยเอ็ด!N341"")+IMPORTRANGE(""https://docs.google.com"&amp;"/spreadsheets/d/1Ul4RCpCX66NxYADU1QpwAPjOmBzW64SsT11s1wzXw_c/edit?usp=sharing"",""เลย!N341"")+IMPORTRANGE(""https://docs.google.com/spreadsheets/d/1bRrNKwbHDVktQG10isr5vbWRtt5spIZPpkOSWgbT5ug/edit?usp=sharing"",""ศรีสะเกษ!N341"")+IMPORTRANGE(""https://doc"&amp;"s.google.com/spreadsheets/d/17P34_Ow5kFBfdQD0qspb2UuPX5zpi6WMrQzslghyvrI/edit?usp=sharing"",""สกลนคร!N341"")+IMPORTRANGE(""https://docs.google.com/spreadsheets/d/1yswqbM3-AEpThF3ZSUa1AcmHnmRTF1vlJ1CZGcJ8YuU/edit?usp=sharing"",""สุรินทร์!N341"")+IMPORTRANG"&amp;"E(""https://docs.google.com/spreadsheets/d/13JHU_EFbsQOUQ0JSQ3dWy1VTRosIWcDq6Nc99z2qzdc/edit?usp=sharing"",""หนองคาย!N341"")+IMPORTRANGE(""https://docs.google.com/spreadsheets/d/1Hx73zIEgVdDZZaYSTc46Dqv64atFhpr3GelxLbaIN8A/edit?usp=sharing"",""หนองบัวลำภู"&amp;"!N341"")+IMPORTRANGE(""https://docs.google.com/spreadsheets/d/1lFxr3ctmjFN90yc-xV6jrQ9Ty8BKYVBWnAZ15wcNIJc/edit?usp=sharing"",""อำนาจเจริญ!N341"")+IMPORTRANGE(""https://docs.google.com/spreadsheets/d/1gF7RJpRnL-1oyjyeWxs5SFWEH7y8ahOZsQlyp2A2e-A/edit?usp=s"&amp;"haring"",""อุดรธานี!N341"")+IMPORTRANGE(""https://docs.google.com/spreadsheets/d/1kfLP0j3INXRa8bTDpcEmoWewMBV61jlFlfzczfjWIgc/edit?usp=sharing"",""อุบลราชธานี!N341"")"),0)</f>
        <v>0</v>
      </c>
      <c r="O341" s="59">
        <f t="shared" ca="1" si="145"/>
        <v>0</v>
      </c>
      <c r="P341" s="59">
        <f t="shared" ca="1" si="146"/>
        <v>0</v>
      </c>
    </row>
    <row r="342" spans="1:16" ht="19.5" x14ac:dyDescent="0.3">
      <c r="A342" s="167"/>
      <c r="B342" s="168"/>
      <c r="C342" s="158" t="s">
        <v>16</v>
      </c>
      <c r="D342" s="404" t="s">
        <v>36</v>
      </c>
      <c r="E342" s="170"/>
      <c r="F342" s="170"/>
      <c r="G342" s="170"/>
      <c r="H342" s="405"/>
      <c r="I342" s="406"/>
      <c r="J342" s="406"/>
      <c r="K342" s="407"/>
      <c r="L342" s="58"/>
      <c r="M342" s="58"/>
      <c r="N342" s="58"/>
      <c r="O342" s="165"/>
      <c r="P342" s="16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30845</v>
      </c>
      <c r="K343" s="415">
        <v>0</v>
      </c>
      <c r="L343" s="416"/>
      <c r="M343" s="416"/>
      <c r="N343" s="416"/>
      <c r="O343" s="416"/>
      <c r="P343" s="416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yhBcrRPreicbMKl9Bu_Snb2-OcQAF62RKfhTLhJ2eAA/edit?usp=sharing"",""กาฬสินธุ์!I344"")+IMPORTRANGE(""https://docs.google.com/spreadsheets/d/1aHkj4IaQMThhwWwevcOymEh837vdxeC_PycurhTbGFA/edit?usp=sharing"","&amp;"""ขอนแก่น!I344"")+IMPORTRANGE(""https://docs.google.com/spreadsheets/d/1FvTu2DsIWUjP6WCWra38Bkj_oOl_sOMf14r5Fg5srxU/edit?usp=sharing"",""ชัยภูมิ!I344"")+IMPORTRANGE(""https://docs.google.com/spreadsheets/d/1XVB7oCJ3pr-vBUdflwPQ8Z2LlzhnCvZaaYjAfP-647E/edit"&amp;"?usp=sharing"",""นครพนม!I344"")+IMPORTRANGE(""https://docs.google.com/spreadsheets/d/1Mnpb-8PYAgn85W6KOTD40hc_Xc55CaLfHoGAbrZ8tls/edit?usp=sharing"",""นครราชสีมา!I344"")+IMPORTRANGE(""https://docs.google.com/spreadsheets/d/1xoDLGBv9CYbyosIhki0kTq6IpYNj-gp"&amp;"jxfobnaDiut0/edit?usp=sharing"",""บึงกาฬ!I344"")+IMPORTRANGE(""https://docs.google.com/spreadsheets/d/1MMPq-JyI6DSgQETxuSiXkesP-P7JHuemnE6QJIa-Nlw/edit?usp=sharing"",""บุรีรัมย์!I344"")+IMPORTRANGE(""https://docs.google.com/spreadsheets/d/1l6IZ8xUPgMrESzc"&amp;"TYwhA1k_tPjeQjJPTqlm8Gd9eU5g/edit?usp=sharing"",""มหาสารคาม!I344"")+IMPORTRANGE(""https://docs.google.com/spreadsheets/d/1uB74YLqNjWX6FObjekfB2NtSYigTQyR2rq9u4Ub2Sq4/edit?usp=sharing"",""มุกดาหาร!I344"")+IMPORTRANGE(""https://docs.google.com/spreadsheets/"&amp;"d/1NexK3geCPxCTO1fzNF8dPec7yZyUx3OaWkFBC9HsQOo/edit?usp=sharing"",""ยโสธร!I344"")+IMPORTRANGE(""https://docs.google.com/spreadsheets/d/1v_cJrbBlyqmnHPReHk44g9NrMRdENNlSy_E_c5M9fIg/edit?usp=sharing"",""ร้อยเอ็ด!I344"")+IMPORTRANGE(""https://docs.google.com"&amp;"/spreadsheets/d/1Ul4RCpCX66NxYADU1QpwAPjOmBzW64SsT11s1wzXw_c/edit?usp=sharing"",""เลย!I344"")+IMPORTRANGE(""https://docs.google.com/spreadsheets/d/1bRrNKwbHDVktQG10isr5vbWRtt5spIZPpkOSWgbT5ug/edit?usp=sharing"",""ศรีสะเกษ!I344"")+IMPORTRANGE(""https://doc"&amp;"s.google.com/spreadsheets/d/17P34_Ow5kFBfdQD0qspb2UuPX5zpi6WMrQzslghyvrI/edit?usp=sharing"",""สกลนคร!I344"")+IMPORTRANGE(""https://docs.google.com/spreadsheets/d/1yswqbM3-AEpThF3ZSUa1AcmHnmRTF1vlJ1CZGcJ8YuU/edit?usp=sharing"",""สุรินทร์!I344"")+IMPORTRANG"&amp;"E(""https://docs.google.com/spreadsheets/d/13JHU_EFbsQOUQ0JSQ3dWy1VTRosIWcDq6Nc99z2qzdc/edit?usp=sharing"",""หนองคาย!I344"")+IMPORTRANGE(""https://docs.google.com/spreadsheets/d/1Hx73zIEgVdDZZaYSTc46Dqv64atFhpr3GelxLbaIN8A/edit?usp=sharing"",""หนองบัวลำภู"&amp;"!I344"")+IMPORTRANGE(""https://docs.google.com/spreadsheets/d/1lFxr3ctmjFN90yc-xV6jrQ9Ty8BKYVBWnAZ15wcNIJc/edit?usp=sharing"",""อำนาจเจริญ!I344"")+IMPORTRANGE(""https://docs.google.com/spreadsheets/d/1gF7RJpRnL-1oyjyeWxs5SFWEH7y8ahOZsQlyp2A2e-A/edit?usp=s"&amp;"haring"",""อุดรธานี!I344"")+IMPORTRANGE(""https://docs.google.com/spreadsheets/d/1kfLP0j3INXRa8bTDpcEmoWewMBV61jlFlfzczfjWIgc/edit?usp=sharing"",""อุบลราชธานี!I344"")"),57200)</f>
        <v>57200</v>
      </c>
      <c r="J344" s="424">
        <f ca="1">IFERROR(__xludf.DUMMYFUNCTION("IMPORTRANGE(""https://docs.google.com/spreadsheets/d/1yhBcrRPreicbMKl9Bu_Snb2-OcQAF62RKfhTLhJ2eAA/edit?usp=sharing"",""กาฬสินธุ์!J344"")+IMPORTRANGE(""https://docs.google.com/spreadsheets/d/1aHkj4IaQMThhwWwevcOymEh837vdxeC_PycurhTbGFA/edit?usp=sharing"","&amp;"""ขอนแก่น!J344"")+IMPORTRANGE(""https://docs.google.com/spreadsheets/d/1FvTu2DsIWUjP6WCWra38Bkj_oOl_sOMf14r5Fg5srxU/edit?usp=sharing"",""ชัยภูมิ!J344"")+IMPORTRANGE(""https://docs.google.com/spreadsheets/d/1XVB7oCJ3pr-vBUdflwPQ8Z2LlzhnCvZaaYjAfP-647E/edit"&amp;"?usp=sharing"",""นครพนม!J344"")+IMPORTRANGE(""https://docs.google.com/spreadsheets/d/1Mnpb-8PYAgn85W6KOTD40hc_Xc55CaLfHoGAbrZ8tls/edit?usp=sharing"",""นครราชสีมา!J344"")+IMPORTRANGE(""https://docs.google.com/spreadsheets/d/1xoDLGBv9CYbyosIhki0kTq6IpYNj-gp"&amp;"jxfobnaDiut0/edit?usp=sharing"",""บึงกาฬ!J344"")+IMPORTRANGE(""https://docs.google.com/spreadsheets/d/1MMPq-JyI6DSgQETxuSiXkesP-P7JHuemnE6QJIa-Nlw/edit?usp=sharing"",""บุรีรัมย์!J344"")+IMPORTRANGE(""https://docs.google.com/spreadsheets/d/1l6IZ8xUPgMrESzc"&amp;"TYwhA1k_tPjeQjJPTqlm8Gd9eU5g/edit?usp=sharing"",""มหาสารคาม!J344"")+IMPORTRANGE(""https://docs.google.com/spreadsheets/d/1uB74YLqNjWX6FObjekfB2NtSYigTQyR2rq9u4Ub2Sq4/edit?usp=sharing"",""มุกดาหาร!J344"")+IMPORTRANGE(""https://docs.google.com/spreadsheets/"&amp;"d/1NexK3geCPxCTO1fzNF8dPec7yZyUx3OaWkFBC9HsQOo/edit?usp=sharing"",""ยโสธร!J344"")+IMPORTRANGE(""https://docs.google.com/spreadsheets/d/1v_cJrbBlyqmnHPReHk44g9NrMRdENNlSy_E_c5M9fIg/edit?usp=sharing"",""ร้อยเอ็ด!J344"")+IMPORTRANGE(""https://docs.google.com"&amp;"/spreadsheets/d/1Ul4RCpCX66NxYADU1QpwAPjOmBzW64SsT11s1wzXw_c/edit?usp=sharing"",""เลย!J344"")+IMPORTRANGE(""https://docs.google.com/spreadsheets/d/1bRrNKwbHDVktQG10isr5vbWRtt5spIZPpkOSWgbT5ug/edit?usp=sharing"",""ศรีสะเกษ!J344"")+IMPORTRANGE(""https://doc"&amp;"s.google.com/spreadsheets/d/17P34_Ow5kFBfdQD0qspb2UuPX5zpi6WMrQzslghyvrI/edit?usp=sharing"",""สกลนคร!J344"")+IMPORTRANGE(""https://docs.google.com/spreadsheets/d/1yswqbM3-AEpThF3ZSUa1AcmHnmRTF1vlJ1CZGcJ8YuU/edit?usp=sharing"",""สุรินทร์!J344"")+IMPORTRANG"&amp;"E(""https://docs.google.com/spreadsheets/d/13JHU_EFbsQOUQ0JSQ3dWy1VTRosIWcDq6Nc99z2qzdc/edit?usp=sharing"",""หนองคาย!J344"")+IMPORTRANGE(""https://docs.google.com/spreadsheets/d/1Hx73zIEgVdDZZaYSTc46Dqv64atFhpr3GelxLbaIN8A/edit?usp=sharing"",""หนองบัวลำภู"&amp;"!J344"")+IMPORTRANGE(""https://docs.google.com/spreadsheets/d/1lFxr3ctmjFN90yc-xV6jrQ9Ty8BKYVBWnAZ15wcNIJc/edit?usp=sharing"",""อำนาจเจริญ!J344"")+IMPORTRANGE(""https://docs.google.com/spreadsheets/d/1gF7RJpRnL-1oyjyeWxs5SFWEH7y8ahOZsQlyp2A2e-A/edit?usp=s"&amp;"haring"",""อุดรธานี!J344"")+IMPORTRANGE(""https://docs.google.com/spreadsheets/d/1kfLP0j3INXRa8bTDpcEmoWewMBV61jlFlfzczfjWIgc/edit?usp=sharing"",""อุบลราชธานี!J344"")"),29289)</f>
        <v>29289</v>
      </c>
      <c r="K344" s="425">
        <f ca="1">IF(I344&gt;0,J344*100/I344,0)</f>
        <v>51.204545454545453</v>
      </c>
      <c r="L344" s="58"/>
      <c r="M344" s="58"/>
      <c r="N344" s="58"/>
      <c r="O344" s="58"/>
      <c r="P344" s="5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58"/>
      <c r="M345" s="58"/>
      <c r="N345" s="58"/>
      <c r="O345" s="58"/>
      <c r="P345" s="5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yhBcrRPreicbMKl9Bu_Snb2-OcQAF62RKfhTLhJ2eAA/edit?usp=sharing"",""กาฬสินธุ์!I346"")+IMPORTRANGE(""https://docs.google.com/spreadsheets/d/1aHkj4IaQMThhwWwevcOymEh837vdxeC_PycurhTbGFA/edit?usp=sharing"","&amp;"""ขอนแก่น!I346"")+IMPORTRANGE(""https://docs.google.com/spreadsheets/d/1FvTu2DsIWUjP6WCWra38Bkj_oOl_sOMf14r5Fg5srxU/edit?usp=sharing"",""ชัยภูมิ!I346"")+IMPORTRANGE(""https://docs.google.com/spreadsheets/d/1XVB7oCJ3pr-vBUdflwPQ8Z2LlzhnCvZaaYjAfP-647E/edit"&amp;"?usp=sharing"",""นครพนม!I346"")+IMPORTRANGE(""https://docs.google.com/spreadsheets/d/1Mnpb-8PYAgn85W6KOTD40hc_Xc55CaLfHoGAbrZ8tls/edit?usp=sharing"",""นครราชสีมา!I346"")+IMPORTRANGE(""https://docs.google.com/spreadsheets/d/1xoDLGBv9CYbyosIhki0kTq6IpYNj-gp"&amp;"jxfobnaDiut0/edit?usp=sharing"",""บึงกาฬ!I346"")+IMPORTRANGE(""https://docs.google.com/spreadsheets/d/1MMPq-JyI6DSgQETxuSiXkesP-P7JHuemnE6QJIa-Nlw/edit?usp=sharing"",""บุรีรัมย์!I346"")+IMPORTRANGE(""https://docs.google.com/spreadsheets/d/1l6IZ8xUPgMrESzc"&amp;"TYwhA1k_tPjeQjJPTqlm8Gd9eU5g/edit?usp=sharing"",""มหาสารคาม!I346"")+IMPORTRANGE(""https://docs.google.com/spreadsheets/d/1uB74YLqNjWX6FObjekfB2NtSYigTQyR2rq9u4Ub2Sq4/edit?usp=sharing"",""มุกดาหาร!I346"")+IMPORTRANGE(""https://docs.google.com/spreadsheets/"&amp;"d/1NexK3geCPxCTO1fzNF8dPec7yZyUx3OaWkFBC9HsQOo/edit?usp=sharing"",""ยโสธร!I346"")+IMPORTRANGE(""https://docs.google.com/spreadsheets/d/1v_cJrbBlyqmnHPReHk44g9NrMRdENNlSy_E_c5M9fIg/edit?usp=sharing"",""ร้อยเอ็ด!I346"")+IMPORTRANGE(""https://docs.google.com"&amp;"/spreadsheets/d/1Ul4RCpCX66NxYADU1QpwAPjOmBzW64SsT11s1wzXw_c/edit?usp=sharing"",""เลย!I346"")+IMPORTRANGE(""https://docs.google.com/spreadsheets/d/1bRrNKwbHDVktQG10isr5vbWRtt5spIZPpkOSWgbT5ug/edit?usp=sharing"",""ศรีสะเกษ!I346"")+IMPORTRANGE(""https://doc"&amp;"s.google.com/spreadsheets/d/17P34_Ow5kFBfdQD0qspb2UuPX5zpi6WMrQzslghyvrI/edit?usp=sharing"",""สกลนคร!I346"")+IMPORTRANGE(""https://docs.google.com/spreadsheets/d/1yswqbM3-AEpThF3ZSUa1AcmHnmRTF1vlJ1CZGcJ8YuU/edit?usp=sharing"",""สุรินทร์!I346"")+IMPORTRANG"&amp;"E(""https://docs.google.com/spreadsheets/d/13JHU_EFbsQOUQ0JSQ3dWy1VTRosIWcDq6Nc99z2qzdc/edit?usp=sharing"",""หนองคาย!I346"")+IMPORTRANGE(""https://docs.google.com/spreadsheets/d/1Hx73zIEgVdDZZaYSTc46Dqv64atFhpr3GelxLbaIN8A/edit?usp=sharing"",""หนองบัวลำภู"&amp;"!I346"")+IMPORTRANGE(""https://docs.google.com/spreadsheets/d/1lFxr3ctmjFN90yc-xV6jrQ9Ty8BKYVBWnAZ15wcNIJc/edit?usp=sharing"",""อำนาจเจริญ!I346"")+IMPORTRANGE(""https://docs.google.com/spreadsheets/d/1gF7RJpRnL-1oyjyeWxs5SFWEH7y8ahOZsQlyp2A2e-A/edit?usp=s"&amp;"haring"",""อุดรธานี!I346"")+IMPORTRANGE(""https://docs.google.com/spreadsheets/d/1kfLP0j3INXRa8bTDpcEmoWewMBV61jlFlfzczfjWIgc/edit?usp=sharing"",""อุบลราชธานี!I346"")"),106)</f>
        <v>106</v>
      </c>
      <c r="J346" s="424">
        <f ca="1">IFERROR(__xludf.DUMMYFUNCTION("IMPORTRANGE(""https://docs.google.com/spreadsheets/d/1yhBcrRPreicbMKl9Bu_Snb2-OcQAF62RKfhTLhJ2eAA/edit?usp=sharing"",""กาฬสินธุ์!J346"")+IMPORTRANGE(""https://docs.google.com/spreadsheets/d/1aHkj4IaQMThhwWwevcOymEh837vdxeC_PycurhTbGFA/edit?usp=sharing"","&amp;"""ขอนแก่น!J346"")+IMPORTRANGE(""https://docs.google.com/spreadsheets/d/1FvTu2DsIWUjP6WCWra38Bkj_oOl_sOMf14r5Fg5srxU/edit?usp=sharing"",""ชัยภูมิ!J346"")+IMPORTRANGE(""https://docs.google.com/spreadsheets/d/1XVB7oCJ3pr-vBUdflwPQ8Z2LlzhnCvZaaYjAfP-647E/edit"&amp;"?usp=sharing"",""นครพนม!J346"")+IMPORTRANGE(""https://docs.google.com/spreadsheets/d/1Mnpb-8PYAgn85W6KOTD40hc_Xc55CaLfHoGAbrZ8tls/edit?usp=sharing"",""นครราชสีมา!J346"")+IMPORTRANGE(""https://docs.google.com/spreadsheets/d/1xoDLGBv9CYbyosIhki0kTq6IpYNj-gp"&amp;"jxfobnaDiut0/edit?usp=sharing"",""บึงกาฬ!J346"")+IMPORTRANGE(""https://docs.google.com/spreadsheets/d/1MMPq-JyI6DSgQETxuSiXkesP-P7JHuemnE6QJIa-Nlw/edit?usp=sharing"",""บุรีรัมย์!J346"")+IMPORTRANGE(""https://docs.google.com/spreadsheets/d/1l6IZ8xUPgMrESzc"&amp;"TYwhA1k_tPjeQjJPTqlm8Gd9eU5g/edit?usp=sharing"",""มหาสารคาม!J346"")+IMPORTRANGE(""https://docs.google.com/spreadsheets/d/1uB74YLqNjWX6FObjekfB2NtSYigTQyR2rq9u4Ub2Sq4/edit?usp=sharing"",""มุกดาหาร!J346"")+IMPORTRANGE(""https://docs.google.com/spreadsheets/"&amp;"d/1NexK3geCPxCTO1fzNF8dPec7yZyUx3OaWkFBC9HsQOo/edit?usp=sharing"",""ยโสธร!J346"")+IMPORTRANGE(""https://docs.google.com/spreadsheets/d/1v_cJrbBlyqmnHPReHk44g9NrMRdENNlSy_E_c5M9fIg/edit?usp=sharing"",""ร้อยเอ็ด!J346"")+IMPORTRANGE(""https://docs.google.com"&amp;"/spreadsheets/d/1Ul4RCpCX66NxYADU1QpwAPjOmBzW64SsT11s1wzXw_c/edit?usp=sharing"",""เลย!J346"")+IMPORTRANGE(""https://docs.google.com/spreadsheets/d/1bRrNKwbHDVktQG10isr5vbWRtt5spIZPpkOSWgbT5ug/edit?usp=sharing"",""ศรีสะเกษ!J346"")+IMPORTRANGE(""https://doc"&amp;"s.google.com/spreadsheets/d/17P34_Ow5kFBfdQD0qspb2UuPX5zpi6WMrQzslghyvrI/edit?usp=sharing"",""สกลนคร!J346"")+IMPORTRANGE(""https://docs.google.com/spreadsheets/d/1yswqbM3-AEpThF3ZSUa1AcmHnmRTF1vlJ1CZGcJ8YuU/edit?usp=sharing"",""สุรินทร์!J346"")+IMPORTRANG"&amp;"E(""https://docs.google.com/spreadsheets/d/13JHU_EFbsQOUQ0JSQ3dWy1VTRosIWcDq6Nc99z2qzdc/edit?usp=sharing"",""หนองคาย!J346"")+IMPORTRANGE(""https://docs.google.com/spreadsheets/d/1Hx73zIEgVdDZZaYSTc46Dqv64atFhpr3GelxLbaIN8A/edit?usp=sharing"",""หนองบัวลำภู"&amp;"!J346"")+IMPORTRANGE(""https://docs.google.com/spreadsheets/d/1lFxr3ctmjFN90yc-xV6jrQ9Ty8BKYVBWnAZ15wcNIJc/edit?usp=sharing"",""อำนาจเจริญ!J346"")+IMPORTRANGE(""https://docs.google.com/spreadsheets/d/1gF7RJpRnL-1oyjyeWxs5SFWEH7y8ahOZsQlyp2A2e-A/edit?usp=s"&amp;"haring"",""อุดรธานี!J346"")+IMPORTRANGE(""https://docs.google.com/spreadsheets/d/1kfLP0j3INXRa8bTDpcEmoWewMBV61jlFlfzczfjWIgc/edit?usp=sharing"",""อุบลราชธานี!J346"")"),49)</f>
        <v>49</v>
      </c>
      <c r="K346" s="425">
        <f ca="1">IF(I346&gt;0,J346*100/I346,0)</f>
        <v>46.226415094339622</v>
      </c>
      <c r="L346" s="58"/>
      <c r="M346" s="58"/>
      <c r="N346" s="58"/>
      <c r="O346" s="58"/>
      <c r="P346" s="5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yhBcrRPreicbMKl9Bu_Snb2-OcQAF62RKfhTLhJ2eAA/edit?usp=sharing"",""กาฬสินธุ์!J347"")+IMPORTRANGE(""https://docs.google.com/spreadsheets/d/1aHkj4IaQMThhwWwevcOymEh837vdxeC_PycurhTbGFA/edit?usp=sharing"","&amp;"""ขอนแก่น!J347"")+IMPORTRANGE(""https://docs.google.com/spreadsheets/d/1FvTu2DsIWUjP6WCWra38Bkj_oOl_sOMf14r5Fg5srxU/edit?usp=sharing"",""ชัยภูมิ!J347"")+IMPORTRANGE(""https://docs.google.com/spreadsheets/d/1XVB7oCJ3pr-vBUdflwPQ8Z2LlzhnCvZaaYjAfP-647E/edit"&amp;"?usp=sharing"",""นครพนม!J347"")+IMPORTRANGE(""https://docs.google.com/spreadsheets/d/1Mnpb-8PYAgn85W6KOTD40hc_Xc55CaLfHoGAbrZ8tls/edit?usp=sharing"",""นครราชสีมา!J347"")+IMPORTRANGE(""https://docs.google.com/spreadsheets/d/1xoDLGBv9CYbyosIhki0kTq6IpYNj-gp"&amp;"jxfobnaDiut0/edit?usp=sharing"",""บึงกาฬ!J347"")+IMPORTRANGE(""https://docs.google.com/spreadsheets/d/1MMPq-JyI6DSgQETxuSiXkesP-P7JHuemnE6QJIa-Nlw/edit?usp=sharing"",""บุรีรัมย์!J347"")+IMPORTRANGE(""https://docs.google.com/spreadsheets/d/1l6IZ8xUPgMrESzc"&amp;"TYwhA1k_tPjeQjJPTqlm8Gd9eU5g/edit?usp=sharing"",""มหาสารคาม!J347"")+IMPORTRANGE(""https://docs.google.com/spreadsheets/d/1uB74YLqNjWX6FObjekfB2NtSYigTQyR2rq9u4Ub2Sq4/edit?usp=sharing"",""มุกดาหาร!J347"")+IMPORTRANGE(""https://docs.google.com/spreadsheets/"&amp;"d/1NexK3geCPxCTO1fzNF8dPec7yZyUx3OaWkFBC9HsQOo/edit?usp=sharing"",""ยโสธร!J347"")+IMPORTRANGE(""https://docs.google.com/spreadsheets/d/1v_cJrbBlyqmnHPReHk44g9NrMRdENNlSy_E_c5M9fIg/edit?usp=sharing"",""ร้อยเอ็ด!J347"")+IMPORTRANGE(""https://docs.google.com"&amp;"/spreadsheets/d/1Ul4RCpCX66NxYADU1QpwAPjOmBzW64SsT11s1wzXw_c/edit?usp=sharing"",""เลย!J347"")+IMPORTRANGE(""https://docs.google.com/spreadsheets/d/1bRrNKwbHDVktQG10isr5vbWRtt5spIZPpkOSWgbT5ug/edit?usp=sharing"",""ศรีสะเกษ!J347"")+IMPORTRANGE(""https://doc"&amp;"s.google.com/spreadsheets/d/17P34_Ow5kFBfdQD0qspb2UuPX5zpi6WMrQzslghyvrI/edit?usp=sharing"",""สกลนคร!J347"")+IMPORTRANGE(""https://docs.google.com/spreadsheets/d/1yswqbM3-AEpThF3ZSUa1AcmHnmRTF1vlJ1CZGcJ8YuU/edit?usp=sharing"",""สุรินทร์!J347"")+IMPORTRANG"&amp;"E(""https://docs.google.com/spreadsheets/d/13JHU_EFbsQOUQ0JSQ3dWy1VTRosIWcDq6Nc99z2qzdc/edit?usp=sharing"",""หนองคาย!J347"")+IMPORTRANGE(""https://docs.google.com/spreadsheets/d/1Hx73zIEgVdDZZaYSTc46Dqv64atFhpr3GelxLbaIN8A/edit?usp=sharing"",""หนองบัวลำภู"&amp;"!J347"")+IMPORTRANGE(""https://docs.google.com/spreadsheets/d/1lFxr3ctmjFN90yc-xV6jrQ9Ty8BKYVBWnAZ15wcNIJc/edit?usp=sharing"",""อำนาจเจริญ!J347"")+IMPORTRANGE(""https://docs.google.com/spreadsheets/d/1gF7RJpRnL-1oyjyeWxs5SFWEH7y8ahOZsQlyp2A2e-A/edit?usp=s"&amp;"haring"",""อุดรธานี!J347"")+IMPORTRANGE(""https://docs.google.com/spreadsheets/d/1kfLP0j3INXRa8bTDpcEmoWewMBV61jlFlfzczfjWIgc/edit?usp=sharing"",""อุบลราชธานี!J347"")"),752)</f>
        <v>752</v>
      </c>
      <c r="K347" s="428"/>
      <c r="L347" s="58"/>
      <c r="M347" s="58"/>
      <c r="N347" s="58"/>
      <c r="O347" s="58"/>
      <c r="P347" s="5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yhBcrRPreicbMKl9Bu_Snb2-OcQAF62RKfhTLhJ2eAA/edit?usp=sharing"",""กาฬสินธุ์!J348"")+IMPORTRANGE(""https://docs.google.com/spreadsheets/d/1aHkj4IaQMThhwWwevcOymEh837vdxeC_PycurhTbGFA/edit?usp=sharing"","&amp;"""ขอนแก่น!J348"")+IMPORTRANGE(""https://docs.google.com/spreadsheets/d/1FvTu2DsIWUjP6WCWra38Bkj_oOl_sOMf14r5Fg5srxU/edit?usp=sharing"",""ชัยภูมิ!J348"")+IMPORTRANGE(""https://docs.google.com/spreadsheets/d/1XVB7oCJ3pr-vBUdflwPQ8Z2LlzhnCvZaaYjAfP-647E/edit"&amp;"?usp=sharing"",""นครพนม!J348"")+IMPORTRANGE(""https://docs.google.com/spreadsheets/d/1Mnpb-8PYAgn85W6KOTD40hc_Xc55CaLfHoGAbrZ8tls/edit?usp=sharing"",""นครราชสีมา!J348"")+IMPORTRANGE(""https://docs.google.com/spreadsheets/d/1xoDLGBv9CYbyosIhki0kTq6IpYNj-gp"&amp;"jxfobnaDiut0/edit?usp=sharing"",""บึงกาฬ!J348"")+IMPORTRANGE(""https://docs.google.com/spreadsheets/d/1MMPq-JyI6DSgQETxuSiXkesP-P7JHuemnE6QJIa-Nlw/edit?usp=sharing"",""บุรีรัมย์!J348"")+IMPORTRANGE(""https://docs.google.com/spreadsheets/d/1l6IZ8xUPgMrESzc"&amp;"TYwhA1k_tPjeQjJPTqlm8Gd9eU5g/edit?usp=sharing"",""มหาสารคาม!J348"")+IMPORTRANGE(""https://docs.google.com/spreadsheets/d/1uB74YLqNjWX6FObjekfB2NtSYigTQyR2rq9u4Ub2Sq4/edit?usp=sharing"",""มุกดาหาร!J348"")+IMPORTRANGE(""https://docs.google.com/spreadsheets/"&amp;"d/1NexK3geCPxCTO1fzNF8dPec7yZyUx3OaWkFBC9HsQOo/edit?usp=sharing"",""ยโสธร!J348"")+IMPORTRANGE(""https://docs.google.com/spreadsheets/d/1v_cJrbBlyqmnHPReHk44g9NrMRdENNlSy_E_c5M9fIg/edit?usp=sharing"",""ร้อยเอ็ด!J348"")+IMPORTRANGE(""https://docs.google.com"&amp;"/spreadsheets/d/1Ul4RCpCX66NxYADU1QpwAPjOmBzW64SsT11s1wzXw_c/edit?usp=sharing"",""เลย!J348"")+IMPORTRANGE(""https://docs.google.com/spreadsheets/d/1bRrNKwbHDVktQG10isr5vbWRtt5spIZPpkOSWgbT5ug/edit?usp=sharing"",""ศรีสะเกษ!J348"")+IMPORTRANGE(""https://doc"&amp;"s.google.com/spreadsheets/d/17P34_Ow5kFBfdQD0qspb2UuPX5zpi6WMrQzslghyvrI/edit?usp=sharing"",""สกลนคร!J348"")+IMPORTRANGE(""https://docs.google.com/spreadsheets/d/1yswqbM3-AEpThF3ZSUa1AcmHnmRTF1vlJ1CZGcJ8YuU/edit?usp=sharing"",""สุรินทร์!J348"")+IMPORTRANG"&amp;"E(""https://docs.google.com/spreadsheets/d/13JHU_EFbsQOUQ0JSQ3dWy1VTRosIWcDq6Nc99z2qzdc/edit?usp=sharing"",""หนองคาย!J348"")+IMPORTRANGE(""https://docs.google.com/spreadsheets/d/1Hx73zIEgVdDZZaYSTc46Dqv64atFhpr3GelxLbaIN8A/edit?usp=sharing"",""หนองบัวลำภู"&amp;"!J348"")+IMPORTRANGE(""https://docs.google.com/spreadsheets/d/1lFxr3ctmjFN90yc-xV6jrQ9Ty8BKYVBWnAZ15wcNIJc/edit?usp=sharing"",""อำนาจเจริญ!J348"")+IMPORTRANGE(""https://docs.google.com/spreadsheets/d/1gF7RJpRnL-1oyjyeWxs5SFWEH7y8ahOZsQlyp2A2e-A/edit?usp=s"&amp;"haring"",""อุดรธานี!J348"")+IMPORTRANGE(""https://docs.google.com/spreadsheets/d/1kfLP0j3INXRa8bTDpcEmoWewMBV61jlFlfzczfjWIgc/edit?usp=sharing"",""อุบลราชธานี!J348"")"),514)</f>
        <v>514</v>
      </c>
      <c r="K348" s="428"/>
      <c r="L348" s="58"/>
      <c r="M348" s="58"/>
      <c r="N348" s="58"/>
      <c r="O348" s="58"/>
      <c r="P348" s="5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yhBcrRPreicbMKl9Bu_Snb2-OcQAF62RKfhTLhJ2eAA/edit?usp=sharing"",""กาฬสินธุ์!J349"")+IMPORTRANGE(""https://docs.google.com/spreadsheets/d/1aHkj4IaQMThhwWwevcOymEh837vdxeC_PycurhTbGFA/edit?usp=sharing"","&amp;"""ขอนแก่น!J349"")+IMPORTRANGE(""https://docs.google.com/spreadsheets/d/1FvTu2DsIWUjP6WCWra38Bkj_oOl_sOMf14r5Fg5srxU/edit?usp=sharing"",""ชัยภูมิ!J349"")+IMPORTRANGE(""https://docs.google.com/spreadsheets/d/1XVB7oCJ3pr-vBUdflwPQ8Z2LlzhnCvZaaYjAfP-647E/edit"&amp;"?usp=sharing"",""นครพนม!J349"")+IMPORTRANGE(""https://docs.google.com/spreadsheets/d/1Mnpb-8PYAgn85W6KOTD40hc_Xc55CaLfHoGAbrZ8tls/edit?usp=sharing"",""นครราชสีมา!J349"")+IMPORTRANGE(""https://docs.google.com/spreadsheets/d/1xoDLGBv9CYbyosIhki0kTq6IpYNj-gp"&amp;"jxfobnaDiut0/edit?usp=sharing"",""บึงกาฬ!J349"")+IMPORTRANGE(""https://docs.google.com/spreadsheets/d/1MMPq-JyI6DSgQETxuSiXkesP-P7JHuemnE6QJIa-Nlw/edit?usp=sharing"",""บุรีรัมย์!J349"")+IMPORTRANGE(""https://docs.google.com/spreadsheets/d/1l6IZ8xUPgMrESzc"&amp;"TYwhA1k_tPjeQjJPTqlm8Gd9eU5g/edit?usp=sharing"",""มหาสารคาม!J349"")+IMPORTRANGE(""https://docs.google.com/spreadsheets/d/1uB74YLqNjWX6FObjekfB2NtSYigTQyR2rq9u4Ub2Sq4/edit?usp=sharing"",""มุกดาหาร!J349"")+IMPORTRANGE(""https://docs.google.com/spreadsheets/"&amp;"d/1NexK3geCPxCTO1fzNF8dPec7yZyUx3OaWkFBC9HsQOo/edit?usp=sharing"",""ยโสธร!J349"")+IMPORTRANGE(""https://docs.google.com/spreadsheets/d/1v_cJrbBlyqmnHPReHk44g9NrMRdENNlSy_E_c5M9fIg/edit?usp=sharing"",""ร้อยเอ็ด!J349"")+IMPORTRANGE(""https://docs.google.com"&amp;"/spreadsheets/d/1Ul4RCpCX66NxYADU1QpwAPjOmBzW64SsT11s1wzXw_c/edit?usp=sharing"",""เลย!J349"")+IMPORTRANGE(""https://docs.google.com/spreadsheets/d/1bRrNKwbHDVktQG10isr5vbWRtt5spIZPpkOSWgbT5ug/edit?usp=sharing"",""ศรีสะเกษ!J349"")+IMPORTRANGE(""https://doc"&amp;"s.google.com/spreadsheets/d/17P34_Ow5kFBfdQD0qspb2UuPX5zpi6WMrQzslghyvrI/edit?usp=sharing"",""สกลนคร!J349"")+IMPORTRANGE(""https://docs.google.com/spreadsheets/d/1yswqbM3-AEpThF3ZSUa1AcmHnmRTF1vlJ1CZGcJ8YuU/edit?usp=sharing"",""สุรินทร์!J349"")+IMPORTRANG"&amp;"E(""https://docs.google.com/spreadsheets/d/13JHU_EFbsQOUQ0JSQ3dWy1VTRosIWcDq6Nc99z2qzdc/edit?usp=sharing"",""หนองคาย!J349"")+IMPORTRANGE(""https://docs.google.com/spreadsheets/d/1Hx73zIEgVdDZZaYSTc46Dqv64atFhpr3GelxLbaIN8A/edit?usp=sharing"",""หนองบัวลำภู"&amp;"!J349"")+IMPORTRANGE(""https://docs.google.com/spreadsheets/d/1lFxr3ctmjFN90yc-xV6jrQ9Ty8BKYVBWnAZ15wcNIJc/edit?usp=sharing"",""อำนาจเจริญ!J349"")+IMPORTRANGE(""https://docs.google.com/spreadsheets/d/1gF7RJpRnL-1oyjyeWxs5SFWEH7y8ahOZsQlyp2A2e-A/edit?usp=s"&amp;"haring"",""อุดรธานี!J349"")+IMPORTRANGE(""https://docs.google.com/spreadsheets/d/1kfLP0j3INXRa8bTDpcEmoWewMBV61jlFlfzczfjWIgc/edit?usp=sharing"",""อุบลราชธานี!J349"")"),290)</f>
        <v>290</v>
      </c>
      <c r="K349" s="428"/>
      <c r="L349" s="58"/>
      <c r="M349" s="58"/>
      <c r="N349" s="58"/>
      <c r="O349" s="58"/>
      <c r="P349" s="5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58"/>
      <c r="M350" s="58"/>
      <c r="N350" s="58"/>
      <c r="O350" s="58"/>
      <c r="P350" s="58"/>
    </row>
    <row r="351" spans="1:16" ht="19.5" x14ac:dyDescent="0.3">
      <c r="A351" s="432"/>
      <c r="B351" s="433"/>
      <c r="C351" s="434"/>
      <c r="D351" s="433"/>
      <c r="E351" s="435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66060</v>
      </c>
      <c r="K351" s="439">
        <v>0</v>
      </c>
      <c r="L351" s="287"/>
      <c r="M351" s="287"/>
      <c r="N351" s="287"/>
      <c r="O351" s="287"/>
      <c r="P351" s="287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yhBcrRPreicbMKl9Bu_Snb2-OcQAF62RKfhTLhJ2eAA/edit?usp=sharing"",""กาฬสินธุ์!J352"")+IMPORTRANGE(""https://docs.google.com/spreadsheets/d/1aHkj4IaQMThhwWwevcOymEh837vdxeC_PycurhTbGFA/edit?usp=sharing"","&amp;"""ขอนแก่น!J352"")+IMPORTRANGE(""https://docs.google.com/spreadsheets/d/1FvTu2DsIWUjP6WCWra38Bkj_oOl_sOMf14r5Fg5srxU/edit?usp=sharing"",""ชัยภูมิ!J352"")+IMPORTRANGE(""https://docs.google.com/spreadsheets/d/1XVB7oCJ3pr-vBUdflwPQ8Z2LlzhnCvZaaYjAfP-647E/edit"&amp;"?usp=sharing"",""นครพนม!J352"")+IMPORTRANGE(""https://docs.google.com/spreadsheets/d/1Mnpb-8PYAgn85W6KOTD40hc_Xc55CaLfHoGAbrZ8tls/edit?usp=sharing"",""นครราชสีมา!J352"")+IMPORTRANGE(""https://docs.google.com/spreadsheets/d/1xoDLGBv9CYbyosIhki0kTq6IpYNj-gp"&amp;"jxfobnaDiut0/edit?usp=sharing"",""บึงกาฬ!J352"")+IMPORTRANGE(""https://docs.google.com/spreadsheets/d/1MMPq-JyI6DSgQETxuSiXkesP-P7JHuemnE6QJIa-Nlw/edit?usp=sharing"",""บุรีรัมย์!J352"")+IMPORTRANGE(""https://docs.google.com/spreadsheets/d/1l6IZ8xUPgMrESzc"&amp;"TYwhA1k_tPjeQjJPTqlm8Gd9eU5g/edit?usp=sharing"",""มหาสารคาม!J352"")+IMPORTRANGE(""https://docs.google.com/spreadsheets/d/1uB74YLqNjWX6FObjekfB2NtSYigTQyR2rq9u4Ub2Sq4/edit?usp=sharing"",""มุกดาหาร!J352"")+IMPORTRANGE(""https://docs.google.com/spreadsheets/"&amp;"d/1NexK3geCPxCTO1fzNF8dPec7yZyUx3OaWkFBC9HsQOo/edit?usp=sharing"",""ยโสธร!J352"")+IMPORTRANGE(""https://docs.google.com/spreadsheets/d/1v_cJrbBlyqmnHPReHk44g9NrMRdENNlSy_E_c5M9fIg/edit?usp=sharing"",""ร้อยเอ็ด!J352"")+IMPORTRANGE(""https://docs.google.com"&amp;"/spreadsheets/d/1Ul4RCpCX66NxYADU1QpwAPjOmBzW64SsT11s1wzXw_c/edit?usp=sharing"",""เลย!J352"")+IMPORTRANGE(""https://docs.google.com/spreadsheets/d/1bRrNKwbHDVktQG10isr5vbWRtt5spIZPpkOSWgbT5ug/edit?usp=sharing"",""ศรีสะเกษ!J352"")+IMPORTRANGE(""https://doc"&amp;"s.google.com/spreadsheets/d/17P34_Ow5kFBfdQD0qspb2UuPX5zpi6WMrQzslghyvrI/edit?usp=sharing"",""สกลนคร!J352"")+IMPORTRANGE(""https://docs.google.com/spreadsheets/d/1yswqbM3-AEpThF3ZSUa1AcmHnmRTF1vlJ1CZGcJ8YuU/edit?usp=sharing"",""สุรินทร์!J352"")+IMPORTRANG"&amp;"E(""https://docs.google.com/spreadsheets/d/13JHU_EFbsQOUQ0JSQ3dWy1VTRosIWcDq6Nc99z2qzdc/edit?usp=sharing"",""หนองคาย!J352"")+IMPORTRANGE(""https://docs.google.com/spreadsheets/d/1Hx73zIEgVdDZZaYSTc46Dqv64atFhpr3GelxLbaIN8A/edit?usp=sharing"",""หนองบัวลำภู"&amp;"!J352"")+IMPORTRANGE(""https://docs.google.com/spreadsheets/d/1lFxr3ctmjFN90yc-xV6jrQ9Ty8BKYVBWnAZ15wcNIJc/edit?usp=sharing"",""อำนาจเจริญ!J352"")+IMPORTRANGE(""https://docs.google.com/spreadsheets/d/1gF7RJpRnL-1oyjyeWxs5SFWEH7y8ahOZsQlyp2A2e-A/edit?usp=s"&amp;"haring"",""อุดรธานี!J352"")+IMPORTRANGE(""https://docs.google.com/spreadsheets/d/1kfLP0j3INXRa8bTDpcEmoWewMBV61jlFlfzczfjWIgc/edit?usp=sharing"",""อุบลราชธานี!J352"")"),27447)</f>
        <v>27447</v>
      </c>
      <c r="K352" s="428"/>
      <c r="L352" s="58"/>
      <c r="M352" s="58"/>
      <c r="N352" s="58"/>
      <c r="O352" s="58"/>
      <c r="P352" s="5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yhBcrRPreicbMKl9Bu_Snb2-OcQAF62RKfhTLhJ2eAA/edit?usp=sharing"",""กาฬสินธุ์!J353"")+IMPORTRANGE(""https://docs.google.com/spreadsheets/d/1aHkj4IaQMThhwWwevcOymEh837vdxeC_PycurhTbGFA/edit?usp=sharing"","&amp;"""ขอนแก่น!J353"")+IMPORTRANGE(""https://docs.google.com/spreadsheets/d/1FvTu2DsIWUjP6WCWra38Bkj_oOl_sOMf14r5Fg5srxU/edit?usp=sharing"",""ชัยภูมิ!J353"")+IMPORTRANGE(""https://docs.google.com/spreadsheets/d/1XVB7oCJ3pr-vBUdflwPQ8Z2LlzhnCvZaaYjAfP-647E/edit"&amp;"?usp=sharing"",""นครพนม!J353"")+IMPORTRANGE(""https://docs.google.com/spreadsheets/d/1Mnpb-8PYAgn85W6KOTD40hc_Xc55CaLfHoGAbrZ8tls/edit?usp=sharing"",""นครราชสีมา!J353"")+IMPORTRANGE(""https://docs.google.com/spreadsheets/d/1xoDLGBv9CYbyosIhki0kTq6IpYNj-gp"&amp;"jxfobnaDiut0/edit?usp=sharing"",""บึงกาฬ!J353"")+IMPORTRANGE(""https://docs.google.com/spreadsheets/d/1MMPq-JyI6DSgQETxuSiXkesP-P7JHuemnE6QJIa-Nlw/edit?usp=sharing"",""บุรีรัมย์!J353"")+IMPORTRANGE(""https://docs.google.com/spreadsheets/d/1l6IZ8xUPgMrESzc"&amp;"TYwhA1k_tPjeQjJPTqlm8Gd9eU5g/edit?usp=sharing"",""มหาสารคาม!J353"")+IMPORTRANGE(""https://docs.google.com/spreadsheets/d/1uB74YLqNjWX6FObjekfB2NtSYigTQyR2rq9u4Ub2Sq4/edit?usp=sharing"",""มุกดาหาร!J353"")+IMPORTRANGE(""https://docs.google.com/spreadsheets/"&amp;"d/1NexK3geCPxCTO1fzNF8dPec7yZyUx3OaWkFBC9HsQOo/edit?usp=sharing"",""ยโสธร!J353"")+IMPORTRANGE(""https://docs.google.com/spreadsheets/d/1v_cJrbBlyqmnHPReHk44g9NrMRdENNlSy_E_c5M9fIg/edit?usp=sharing"",""ร้อยเอ็ด!J353"")+IMPORTRANGE(""https://docs.google.com"&amp;"/spreadsheets/d/1Ul4RCpCX66NxYADU1QpwAPjOmBzW64SsT11s1wzXw_c/edit?usp=sharing"",""เลย!J353"")+IMPORTRANGE(""https://docs.google.com/spreadsheets/d/1bRrNKwbHDVktQG10isr5vbWRtt5spIZPpkOSWgbT5ug/edit?usp=sharing"",""ศรีสะเกษ!J353"")+IMPORTRANGE(""https://doc"&amp;"s.google.com/spreadsheets/d/17P34_Ow5kFBfdQD0qspb2UuPX5zpi6WMrQzslghyvrI/edit?usp=sharing"",""สกลนคร!J353"")+IMPORTRANGE(""https://docs.google.com/spreadsheets/d/1yswqbM3-AEpThF3ZSUa1AcmHnmRTF1vlJ1CZGcJ8YuU/edit?usp=sharing"",""สุรินทร์!J353"")+IMPORTRANG"&amp;"E(""https://docs.google.com/spreadsheets/d/13JHU_EFbsQOUQ0JSQ3dWy1VTRosIWcDq6Nc99z2qzdc/edit?usp=sharing"",""หนองคาย!J353"")+IMPORTRANGE(""https://docs.google.com/spreadsheets/d/1Hx73zIEgVdDZZaYSTc46Dqv64atFhpr3GelxLbaIN8A/edit?usp=sharing"",""หนองบัวลำภู"&amp;"!J353"")+IMPORTRANGE(""https://docs.google.com/spreadsheets/d/1lFxr3ctmjFN90yc-xV6jrQ9Ty8BKYVBWnAZ15wcNIJc/edit?usp=sharing"",""อำนาจเจริญ!J353"")+IMPORTRANGE(""https://docs.google.com/spreadsheets/d/1gF7RJpRnL-1oyjyeWxs5SFWEH7y8ahOZsQlyp2A2e-A/edit?usp=s"&amp;"haring"",""อุดรธานี!J353"")+IMPORTRANGE(""https://docs.google.com/spreadsheets/d/1kfLP0j3INXRa8bTDpcEmoWewMBV61jlFlfzczfjWIgc/edit?usp=sharing"",""อุบลราชธานี!J353"")"),38613)</f>
        <v>38613</v>
      </c>
      <c r="K353" s="428"/>
      <c r="L353" s="58"/>
      <c r="M353" s="58"/>
      <c r="N353" s="58"/>
      <c r="O353" s="58"/>
      <c r="P353" s="5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58"/>
      <c r="M354" s="58"/>
      <c r="N354" s="58"/>
      <c r="O354" s="58"/>
      <c r="P354" s="58"/>
    </row>
    <row r="355" spans="1:16" ht="19.5" x14ac:dyDescent="0.3">
      <c r="A355" s="390"/>
      <c r="B355" s="391" t="s">
        <v>141</v>
      </c>
      <c r="C355" s="400"/>
      <c r="D355" s="392"/>
      <c r="E355" s="392"/>
      <c r="F355" s="392"/>
      <c r="G355" s="393"/>
      <c r="H355" s="393"/>
      <c r="I355" s="441"/>
      <c r="J355" s="441"/>
      <c r="K355" s="397"/>
      <c r="L355" s="397"/>
      <c r="M355" s="397"/>
      <c r="N355" s="397"/>
      <c r="O355" s="397"/>
      <c r="P355" s="397"/>
    </row>
    <row r="356" spans="1:16" ht="19.5" x14ac:dyDescent="0.3">
      <c r="A356" s="157"/>
      <c r="B356" s="53"/>
      <c r="C356" s="158" t="s">
        <v>16</v>
      </c>
      <c r="D356" s="159" t="s">
        <v>17</v>
      </c>
      <c r="E356" s="53"/>
      <c r="F356" s="53"/>
      <c r="G356" s="55"/>
      <c r="H356" s="160" t="s">
        <v>12</v>
      </c>
      <c r="I356" s="57"/>
      <c r="J356" s="57"/>
      <c r="K356" s="58"/>
      <c r="L356" s="161">
        <f t="shared" ref="L356:N356" ca="1" si="151">L357+L358</f>
        <v>16083580</v>
      </c>
      <c r="M356" s="161">
        <f t="shared" ca="1" si="151"/>
        <v>13893750</v>
      </c>
      <c r="N356" s="161">
        <f t="shared" ca="1" si="151"/>
        <v>4915947.48999999</v>
      </c>
      <c r="O356" s="161">
        <f t="shared" ref="O356:O364" ca="1" si="152">IF(L356&gt;0,N356*100/L356,0)</f>
        <v>30.565007852729241</v>
      </c>
      <c r="P356" s="161">
        <f t="shared" ref="P356:P364" ca="1" si="153">IF(M356&gt;0,N356*100/M356,0)</f>
        <v>35.382438074673793</v>
      </c>
    </row>
    <row r="357" spans="1:16" ht="18.75" x14ac:dyDescent="0.25">
      <c r="A357" s="157"/>
      <c r="B357" s="53"/>
      <c r="C357" s="53"/>
      <c r="D357" s="53"/>
      <c r="E357" s="60" t="s">
        <v>18</v>
      </c>
      <c r="F357" s="53"/>
      <c r="G357" s="55"/>
      <c r="H357" s="162" t="s">
        <v>12</v>
      </c>
      <c r="I357" s="57"/>
      <c r="J357" s="57"/>
      <c r="K357" s="58"/>
      <c r="L357" s="59">
        <f t="shared" ref="L357:N357" ca="1" si="154">L360+L363</f>
        <v>0</v>
      </c>
      <c r="M357" s="59">
        <f t="shared" ca="1" si="154"/>
        <v>0</v>
      </c>
      <c r="N357" s="59">
        <f t="shared" ca="1" si="154"/>
        <v>0</v>
      </c>
      <c r="O357" s="59">
        <f t="shared" ca="1" si="152"/>
        <v>0</v>
      </c>
      <c r="P357" s="59">
        <f t="shared" ca="1" si="153"/>
        <v>0</v>
      </c>
    </row>
    <row r="358" spans="1:16" ht="18.75" x14ac:dyDescent="0.25">
      <c r="A358" s="157"/>
      <c r="B358" s="53"/>
      <c r="C358" s="53"/>
      <c r="D358" s="53"/>
      <c r="E358" s="60" t="s">
        <v>19</v>
      </c>
      <c r="F358" s="53"/>
      <c r="G358" s="55"/>
      <c r="H358" s="162" t="s">
        <v>12</v>
      </c>
      <c r="I358" s="57"/>
      <c r="J358" s="57"/>
      <c r="K358" s="58"/>
      <c r="L358" s="59">
        <f t="shared" ref="L358:N358" ca="1" si="155">L361+L364</f>
        <v>16083580</v>
      </c>
      <c r="M358" s="59">
        <f t="shared" ca="1" si="155"/>
        <v>13893750</v>
      </c>
      <c r="N358" s="59">
        <f t="shared" ca="1" si="155"/>
        <v>4915947.48999999</v>
      </c>
      <c r="O358" s="59">
        <f t="shared" ca="1" si="152"/>
        <v>30.565007852729241</v>
      </c>
      <c r="P358" s="59">
        <f t="shared" ca="1" si="153"/>
        <v>35.382438074673793</v>
      </c>
    </row>
    <row r="359" spans="1:16" ht="18.75" x14ac:dyDescent="0.25">
      <c r="A359" s="157"/>
      <c r="B359" s="53"/>
      <c r="C359" s="53"/>
      <c r="D359" s="54" t="s">
        <v>20</v>
      </c>
      <c r="E359" s="53"/>
      <c r="F359" s="53"/>
      <c r="G359" s="55"/>
      <c r="H359" s="163" t="s">
        <v>12</v>
      </c>
      <c r="I359" s="164"/>
      <c r="J359" s="164"/>
      <c r="K359" s="165"/>
      <c r="L359" s="59">
        <f t="shared" ref="L359:N359" ca="1" si="156">L360+L361</f>
        <v>16083580</v>
      </c>
      <c r="M359" s="59">
        <f t="shared" ca="1" si="156"/>
        <v>13893750</v>
      </c>
      <c r="N359" s="59">
        <f t="shared" ca="1" si="156"/>
        <v>4915947.48999999</v>
      </c>
      <c r="O359" s="59">
        <f t="shared" ca="1" si="152"/>
        <v>30.565007852729241</v>
      </c>
      <c r="P359" s="59">
        <f t="shared" ca="1" si="153"/>
        <v>35.382438074673793</v>
      </c>
    </row>
    <row r="360" spans="1:16" ht="18.75" x14ac:dyDescent="0.25">
      <c r="A360" s="157"/>
      <c r="B360" s="53"/>
      <c r="C360" s="53"/>
      <c r="D360" s="53"/>
      <c r="E360" s="60" t="s">
        <v>34</v>
      </c>
      <c r="F360" s="53"/>
      <c r="G360" s="55"/>
      <c r="H360" s="163" t="s">
        <v>12</v>
      </c>
      <c r="I360" s="164"/>
      <c r="J360" s="164"/>
      <c r="K360" s="165"/>
      <c r="L360" s="59">
        <f ca="1">IFERROR(__xludf.DUMMYFUNCTION("IMPORTRANGE(""https://docs.google.com/spreadsheets/d/1yhBcrRPreicbMKl9Bu_Snb2-OcQAF62RKfhTLhJ2eAA/edit?usp=sharing"",""กาฬสินธุ์!L360"")+IMPORTRANGE(""https://docs.google.com/spreadsheets/d/1aHkj4IaQMThhwWwevcOymEh837vdxeC_PycurhTbGFA/edit?usp=sharing"","&amp;"""ขอนแก่น!L360"")+IMPORTRANGE(""https://docs.google.com/spreadsheets/d/1FvTu2DsIWUjP6WCWra38Bkj_oOl_sOMf14r5Fg5srxU/edit?usp=sharing"",""ชัยภูมิ!L360"")+IMPORTRANGE(""https://docs.google.com/spreadsheets/d/1XVB7oCJ3pr-vBUdflwPQ8Z2LlzhnCvZaaYjAfP-647E/edit"&amp;"?usp=sharing"",""นครพนม!L360"")+IMPORTRANGE(""https://docs.google.com/spreadsheets/d/1Mnpb-8PYAgn85W6KOTD40hc_Xc55CaLfHoGAbrZ8tls/edit?usp=sharing"",""นครราชสีมา!L360"")+IMPORTRANGE(""https://docs.google.com/spreadsheets/d/1xoDLGBv9CYbyosIhki0kTq6IpYNj-gp"&amp;"jxfobnaDiut0/edit?usp=sharing"",""บึงกาฬ!L360"")+IMPORTRANGE(""https://docs.google.com/spreadsheets/d/1MMPq-JyI6DSgQETxuSiXkesP-P7JHuemnE6QJIa-Nlw/edit?usp=sharing"",""บุรีรัมย์!L360"")+IMPORTRANGE(""https://docs.google.com/spreadsheets/d/1l6IZ8xUPgMrESzc"&amp;"TYwhA1k_tPjeQjJPTqlm8Gd9eU5g/edit?usp=sharing"",""มหาสารคาม!L360"")+IMPORTRANGE(""https://docs.google.com/spreadsheets/d/1uB74YLqNjWX6FObjekfB2NtSYigTQyR2rq9u4Ub2Sq4/edit?usp=sharing"",""มุกดาหาร!L360"")+IMPORTRANGE(""https://docs.google.com/spreadsheets/"&amp;"d/1NexK3geCPxCTO1fzNF8dPec7yZyUx3OaWkFBC9HsQOo/edit?usp=sharing"",""ยโสธร!L360"")+IMPORTRANGE(""https://docs.google.com/spreadsheets/d/1v_cJrbBlyqmnHPReHk44g9NrMRdENNlSy_E_c5M9fIg/edit?usp=sharing"",""ร้อยเอ็ด!L360"")+IMPORTRANGE(""https://docs.google.com"&amp;"/spreadsheets/d/1Ul4RCpCX66NxYADU1QpwAPjOmBzW64SsT11s1wzXw_c/edit?usp=sharing"",""เลย!L360"")+IMPORTRANGE(""https://docs.google.com/spreadsheets/d/1bRrNKwbHDVktQG10isr5vbWRtt5spIZPpkOSWgbT5ug/edit?usp=sharing"",""ศรีสะเกษ!L360"")+IMPORTRANGE(""https://doc"&amp;"s.google.com/spreadsheets/d/17P34_Ow5kFBfdQD0qspb2UuPX5zpi6WMrQzslghyvrI/edit?usp=sharing"",""สกลนคร!L360"")+IMPORTRANGE(""https://docs.google.com/spreadsheets/d/1yswqbM3-AEpThF3ZSUa1AcmHnmRTF1vlJ1CZGcJ8YuU/edit?usp=sharing"",""สุรินทร์!L360"")+IMPORTRANG"&amp;"E(""https://docs.google.com/spreadsheets/d/13JHU_EFbsQOUQ0JSQ3dWy1VTRosIWcDq6Nc99z2qzdc/edit?usp=sharing"",""หนองคาย!L360"")+IMPORTRANGE(""https://docs.google.com/spreadsheets/d/1Hx73zIEgVdDZZaYSTc46Dqv64atFhpr3GelxLbaIN8A/edit?usp=sharing"",""หนองบัวลำภู"&amp;"!L360"")+IMPORTRANGE(""https://docs.google.com/spreadsheets/d/1lFxr3ctmjFN90yc-xV6jrQ9Ty8BKYVBWnAZ15wcNIJc/edit?usp=sharing"",""อำนาจเจริญ!L360"")+IMPORTRANGE(""https://docs.google.com/spreadsheets/d/1gF7RJpRnL-1oyjyeWxs5SFWEH7y8ahOZsQlyp2A2e-A/edit?usp=s"&amp;"haring"",""อุดรธานี!L360"")+IMPORTRANGE(""https://docs.google.com/spreadsheets/d/1kfLP0j3INXRa8bTDpcEmoWewMBV61jlFlfzczfjWIgc/edit?usp=sharing"",""อุบลราชธานี!L360"")"),0)</f>
        <v>0</v>
      </c>
      <c r="M360" s="59">
        <f ca="1">IFERROR(__xludf.DUMMYFUNCTION("IMPORTRANGE(""https://docs.google.com/spreadsheets/d/1yhBcrRPreicbMKl9Bu_Snb2-OcQAF62RKfhTLhJ2eAA/edit?usp=sharing"",""กาฬสินธุ์!M360"")+IMPORTRANGE(""https://docs.google.com/spreadsheets/d/1aHkj4IaQMThhwWwevcOymEh837vdxeC_PycurhTbGFA/edit?usp=sharing"","&amp;"""ขอนแก่น!M360"")+IMPORTRANGE(""https://docs.google.com/spreadsheets/d/1FvTu2DsIWUjP6WCWra38Bkj_oOl_sOMf14r5Fg5srxU/edit?usp=sharing"",""ชัยภูมิ!M360"")+IMPORTRANGE(""https://docs.google.com/spreadsheets/d/1XVB7oCJ3pr-vBUdflwPQ8Z2LlzhnCvZaaYjAfP-647E/edit"&amp;"?usp=sharing"",""นครพนม!M360"")+IMPORTRANGE(""https://docs.google.com/spreadsheets/d/1Mnpb-8PYAgn85W6KOTD40hc_Xc55CaLfHoGAbrZ8tls/edit?usp=sharing"",""นครราชสีมา!M360"")+IMPORTRANGE(""https://docs.google.com/spreadsheets/d/1xoDLGBv9CYbyosIhki0kTq6IpYNj-gp"&amp;"jxfobnaDiut0/edit?usp=sharing"",""บึงกาฬ!M360"")+IMPORTRANGE(""https://docs.google.com/spreadsheets/d/1MMPq-JyI6DSgQETxuSiXkesP-P7JHuemnE6QJIa-Nlw/edit?usp=sharing"",""บุรีรัมย์!M360"")+IMPORTRANGE(""https://docs.google.com/spreadsheets/d/1l6IZ8xUPgMrESzc"&amp;"TYwhA1k_tPjeQjJPTqlm8Gd9eU5g/edit?usp=sharing"",""มหาสารคาม!M360"")+IMPORTRANGE(""https://docs.google.com/spreadsheets/d/1uB74YLqNjWX6FObjekfB2NtSYigTQyR2rq9u4Ub2Sq4/edit?usp=sharing"",""มุกดาหาร!M360"")+IMPORTRANGE(""https://docs.google.com/spreadsheets/"&amp;"d/1NexK3geCPxCTO1fzNF8dPec7yZyUx3OaWkFBC9HsQOo/edit?usp=sharing"",""ยโสธร!M360"")+IMPORTRANGE(""https://docs.google.com/spreadsheets/d/1v_cJrbBlyqmnHPReHk44g9NrMRdENNlSy_E_c5M9fIg/edit?usp=sharing"",""ร้อยเอ็ด!M360"")+IMPORTRANGE(""https://docs.google.com"&amp;"/spreadsheets/d/1Ul4RCpCX66NxYADU1QpwAPjOmBzW64SsT11s1wzXw_c/edit?usp=sharing"",""เลย!M360"")+IMPORTRANGE(""https://docs.google.com/spreadsheets/d/1bRrNKwbHDVktQG10isr5vbWRtt5spIZPpkOSWgbT5ug/edit?usp=sharing"",""ศรีสะเกษ!M360"")+IMPORTRANGE(""https://doc"&amp;"s.google.com/spreadsheets/d/17P34_Ow5kFBfdQD0qspb2UuPX5zpi6WMrQzslghyvrI/edit?usp=sharing"",""สกลนคร!M360"")+IMPORTRANGE(""https://docs.google.com/spreadsheets/d/1yswqbM3-AEpThF3ZSUa1AcmHnmRTF1vlJ1CZGcJ8YuU/edit?usp=sharing"",""สุรินทร์!M360"")+IMPORTRANG"&amp;"E(""https://docs.google.com/spreadsheets/d/13JHU_EFbsQOUQ0JSQ3dWy1VTRosIWcDq6Nc99z2qzdc/edit?usp=sharing"",""หนองคาย!M360"")+IMPORTRANGE(""https://docs.google.com/spreadsheets/d/1Hx73zIEgVdDZZaYSTc46Dqv64atFhpr3GelxLbaIN8A/edit?usp=sharing"",""หนองบัวลำภู"&amp;"!M360"")+IMPORTRANGE(""https://docs.google.com/spreadsheets/d/1lFxr3ctmjFN90yc-xV6jrQ9Ty8BKYVBWnAZ15wcNIJc/edit?usp=sharing"",""อำนาจเจริญ!M360"")+IMPORTRANGE(""https://docs.google.com/spreadsheets/d/1gF7RJpRnL-1oyjyeWxs5SFWEH7y8ahOZsQlyp2A2e-A/edit?usp=s"&amp;"haring"",""อุดรธานี!M360"")+IMPORTRANGE(""https://docs.google.com/spreadsheets/d/1kfLP0j3INXRa8bTDpcEmoWewMBV61jlFlfzczfjWIgc/edit?usp=sharing"",""อุบลราชธานี!M360"")"),0)</f>
        <v>0</v>
      </c>
      <c r="N360" s="59">
        <f ca="1">IFERROR(__xludf.DUMMYFUNCTION("IMPORTRANGE(""https://docs.google.com/spreadsheets/d/1yhBcrRPreicbMKl9Bu_Snb2-OcQAF62RKfhTLhJ2eAA/edit?usp=sharing"",""กาฬสินธุ์!N360"")+IMPORTRANGE(""https://docs.google.com/spreadsheets/d/1aHkj4IaQMThhwWwevcOymEh837vdxeC_PycurhTbGFA/edit?usp=sharing"","&amp;"""ขอนแก่น!N360"")+IMPORTRANGE(""https://docs.google.com/spreadsheets/d/1FvTu2DsIWUjP6WCWra38Bkj_oOl_sOMf14r5Fg5srxU/edit?usp=sharing"",""ชัยภูมิ!N360"")+IMPORTRANGE(""https://docs.google.com/spreadsheets/d/1XVB7oCJ3pr-vBUdflwPQ8Z2LlzhnCvZaaYjAfP-647E/edit"&amp;"?usp=sharing"",""นครพนม!N360"")+IMPORTRANGE(""https://docs.google.com/spreadsheets/d/1Mnpb-8PYAgn85W6KOTD40hc_Xc55CaLfHoGAbrZ8tls/edit?usp=sharing"",""นครราชสีมา!N360"")+IMPORTRANGE(""https://docs.google.com/spreadsheets/d/1xoDLGBv9CYbyosIhki0kTq6IpYNj-gp"&amp;"jxfobnaDiut0/edit?usp=sharing"",""บึงกาฬ!N360"")+IMPORTRANGE(""https://docs.google.com/spreadsheets/d/1MMPq-JyI6DSgQETxuSiXkesP-P7JHuemnE6QJIa-Nlw/edit?usp=sharing"",""บุรีรัมย์!N360"")+IMPORTRANGE(""https://docs.google.com/spreadsheets/d/1l6IZ8xUPgMrESzc"&amp;"TYwhA1k_tPjeQjJPTqlm8Gd9eU5g/edit?usp=sharing"",""มหาสารคาม!N360"")+IMPORTRANGE(""https://docs.google.com/spreadsheets/d/1uB74YLqNjWX6FObjekfB2NtSYigTQyR2rq9u4Ub2Sq4/edit?usp=sharing"",""มุกดาหาร!N360"")+IMPORTRANGE(""https://docs.google.com/spreadsheets/"&amp;"d/1NexK3geCPxCTO1fzNF8dPec7yZyUx3OaWkFBC9HsQOo/edit?usp=sharing"",""ยโสธร!N360"")+IMPORTRANGE(""https://docs.google.com/spreadsheets/d/1v_cJrbBlyqmnHPReHk44g9NrMRdENNlSy_E_c5M9fIg/edit?usp=sharing"",""ร้อยเอ็ด!N360"")+IMPORTRANGE(""https://docs.google.com"&amp;"/spreadsheets/d/1Ul4RCpCX66NxYADU1QpwAPjOmBzW64SsT11s1wzXw_c/edit?usp=sharing"",""เลย!N360"")+IMPORTRANGE(""https://docs.google.com/spreadsheets/d/1bRrNKwbHDVktQG10isr5vbWRtt5spIZPpkOSWgbT5ug/edit?usp=sharing"",""ศรีสะเกษ!N360"")+IMPORTRANGE(""https://doc"&amp;"s.google.com/spreadsheets/d/17P34_Ow5kFBfdQD0qspb2UuPX5zpi6WMrQzslghyvrI/edit?usp=sharing"",""สกลนคร!N360"")+IMPORTRANGE(""https://docs.google.com/spreadsheets/d/1yswqbM3-AEpThF3ZSUa1AcmHnmRTF1vlJ1CZGcJ8YuU/edit?usp=sharing"",""สุรินทร์!N360"")+IMPORTRANG"&amp;"E(""https://docs.google.com/spreadsheets/d/13JHU_EFbsQOUQ0JSQ3dWy1VTRosIWcDq6Nc99z2qzdc/edit?usp=sharing"",""หนองคาย!N360"")+IMPORTRANGE(""https://docs.google.com/spreadsheets/d/1Hx73zIEgVdDZZaYSTc46Dqv64atFhpr3GelxLbaIN8A/edit?usp=sharing"",""หนองบัวลำภู"&amp;"!N360"")+IMPORTRANGE(""https://docs.google.com/spreadsheets/d/1lFxr3ctmjFN90yc-xV6jrQ9Ty8BKYVBWnAZ15wcNIJc/edit?usp=sharing"",""อำนาจเจริญ!N360"")+IMPORTRANGE(""https://docs.google.com/spreadsheets/d/1gF7RJpRnL-1oyjyeWxs5SFWEH7y8ahOZsQlyp2A2e-A/edit?usp=s"&amp;"haring"",""อุดรธานี!N360"")+IMPORTRANGE(""https://docs.google.com/spreadsheets/d/1kfLP0j3INXRa8bTDpcEmoWewMBV61jlFlfzczfjWIgc/edit?usp=sharing"",""อุบลราชธานี!N360"")"),0)</f>
        <v>0</v>
      </c>
      <c r="O360" s="59">
        <f t="shared" ca="1" si="152"/>
        <v>0</v>
      </c>
      <c r="P360" s="59">
        <f t="shared" ca="1" si="153"/>
        <v>0</v>
      </c>
    </row>
    <row r="361" spans="1:16" ht="18.75" x14ac:dyDescent="0.25">
      <c r="A361" s="157"/>
      <c r="B361" s="53"/>
      <c r="C361" s="53"/>
      <c r="D361" s="53"/>
      <c r="E361" s="60" t="s">
        <v>35</v>
      </c>
      <c r="F361" s="53"/>
      <c r="G361" s="55"/>
      <c r="H361" s="163" t="s">
        <v>12</v>
      </c>
      <c r="I361" s="164"/>
      <c r="J361" s="164"/>
      <c r="K361" s="165"/>
      <c r="L361" s="59">
        <f ca="1">IFERROR(__xludf.DUMMYFUNCTION("IMPORTRANGE(""https://docs.google.com/spreadsheets/d/1yhBcrRPreicbMKl9Bu_Snb2-OcQAF62RKfhTLhJ2eAA/edit?usp=sharing"",""กาฬสินธุ์!L361"")+IMPORTRANGE(""https://docs.google.com/spreadsheets/d/1aHkj4IaQMThhwWwevcOymEh837vdxeC_PycurhTbGFA/edit?usp=sharing"","&amp;"""ขอนแก่น!L361"")+IMPORTRANGE(""https://docs.google.com/spreadsheets/d/1FvTu2DsIWUjP6WCWra38Bkj_oOl_sOMf14r5Fg5srxU/edit?usp=sharing"",""ชัยภูมิ!L361"")+IMPORTRANGE(""https://docs.google.com/spreadsheets/d/1XVB7oCJ3pr-vBUdflwPQ8Z2LlzhnCvZaaYjAfP-647E/edit"&amp;"?usp=sharing"",""นครพนม!L361"")+IMPORTRANGE(""https://docs.google.com/spreadsheets/d/1Mnpb-8PYAgn85W6KOTD40hc_Xc55CaLfHoGAbrZ8tls/edit?usp=sharing"",""นครราชสีมา!L361"")+IMPORTRANGE(""https://docs.google.com/spreadsheets/d/1xoDLGBv9CYbyosIhki0kTq6IpYNj-gp"&amp;"jxfobnaDiut0/edit?usp=sharing"",""บึงกาฬ!L361"")+IMPORTRANGE(""https://docs.google.com/spreadsheets/d/1MMPq-JyI6DSgQETxuSiXkesP-P7JHuemnE6QJIa-Nlw/edit?usp=sharing"",""บุรีรัมย์!L361"")+IMPORTRANGE(""https://docs.google.com/spreadsheets/d/1l6IZ8xUPgMrESzc"&amp;"TYwhA1k_tPjeQjJPTqlm8Gd9eU5g/edit?usp=sharing"",""มหาสารคาม!L361"")+IMPORTRANGE(""https://docs.google.com/spreadsheets/d/1uB74YLqNjWX6FObjekfB2NtSYigTQyR2rq9u4Ub2Sq4/edit?usp=sharing"",""มุกดาหาร!L361"")+IMPORTRANGE(""https://docs.google.com/spreadsheets/"&amp;"d/1NexK3geCPxCTO1fzNF8dPec7yZyUx3OaWkFBC9HsQOo/edit?usp=sharing"",""ยโสธร!L361"")+IMPORTRANGE(""https://docs.google.com/spreadsheets/d/1v_cJrbBlyqmnHPReHk44g9NrMRdENNlSy_E_c5M9fIg/edit?usp=sharing"",""ร้อยเอ็ด!L361"")+IMPORTRANGE(""https://docs.google.com"&amp;"/spreadsheets/d/1Ul4RCpCX66NxYADU1QpwAPjOmBzW64SsT11s1wzXw_c/edit?usp=sharing"",""เลย!L361"")+IMPORTRANGE(""https://docs.google.com/spreadsheets/d/1bRrNKwbHDVktQG10isr5vbWRtt5spIZPpkOSWgbT5ug/edit?usp=sharing"",""ศรีสะเกษ!L361"")+IMPORTRANGE(""https://doc"&amp;"s.google.com/spreadsheets/d/17P34_Ow5kFBfdQD0qspb2UuPX5zpi6WMrQzslghyvrI/edit?usp=sharing"",""สกลนคร!L361"")+IMPORTRANGE(""https://docs.google.com/spreadsheets/d/1yswqbM3-AEpThF3ZSUa1AcmHnmRTF1vlJ1CZGcJ8YuU/edit?usp=sharing"",""สุรินทร์!L361"")+IMPORTRANG"&amp;"E(""https://docs.google.com/spreadsheets/d/13JHU_EFbsQOUQ0JSQ3dWy1VTRosIWcDq6Nc99z2qzdc/edit?usp=sharing"",""หนองคาย!L361"")+IMPORTRANGE(""https://docs.google.com/spreadsheets/d/1Hx73zIEgVdDZZaYSTc46Dqv64atFhpr3GelxLbaIN8A/edit?usp=sharing"",""หนองบัวลำภู"&amp;"!L361"")+IMPORTRANGE(""https://docs.google.com/spreadsheets/d/1lFxr3ctmjFN90yc-xV6jrQ9Ty8BKYVBWnAZ15wcNIJc/edit?usp=sharing"",""อำนาจเจริญ!L361"")+IMPORTRANGE(""https://docs.google.com/spreadsheets/d/1gF7RJpRnL-1oyjyeWxs5SFWEH7y8ahOZsQlyp2A2e-A/edit?usp=s"&amp;"haring"",""อุดรธานี!L361"")+IMPORTRANGE(""https://docs.google.com/spreadsheets/d/1kfLP0j3INXRa8bTDpcEmoWewMBV61jlFlfzczfjWIgc/edit?usp=sharing"",""อุบลราชธานี!L361"")"),16083580)</f>
        <v>16083580</v>
      </c>
      <c r="M361" s="59">
        <f ca="1">IFERROR(__xludf.DUMMYFUNCTION("IMPORTRANGE(""https://docs.google.com/spreadsheets/d/1yhBcrRPreicbMKl9Bu_Snb2-OcQAF62RKfhTLhJ2eAA/edit?usp=sharing"",""กาฬสินธุ์!M361"")+IMPORTRANGE(""https://docs.google.com/spreadsheets/d/1aHkj4IaQMThhwWwevcOymEh837vdxeC_PycurhTbGFA/edit?usp=sharing"","&amp;"""ขอนแก่น!M361"")+IMPORTRANGE(""https://docs.google.com/spreadsheets/d/1FvTu2DsIWUjP6WCWra38Bkj_oOl_sOMf14r5Fg5srxU/edit?usp=sharing"",""ชัยภูมิ!M361"")+IMPORTRANGE(""https://docs.google.com/spreadsheets/d/1XVB7oCJ3pr-vBUdflwPQ8Z2LlzhnCvZaaYjAfP-647E/edit"&amp;"?usp=sharing"",""นครพนม!M361"")+IMPORTRANGE(""https://docs.google.com/spreadsheets/d/1Mnpb-8PYAgn85W6KOTD40hc_Xc55CaLfHoGAbrZ8tls/edit?usp=sharing"",""นครราชสีมา!M361"")+IMPORTRANGE(""https://docs.google.com/spreadsheets/d/1xoDLGBv9CYbyosIhki0kTq6IpYNj-gp"&amp;"jxfobnaDiut0/edit?usp=sharing"",""บึงกาฬ!M361"")+IMPORTRANGE(""https://docs.google.com/spreadsheets/d/1MMPq-JyI6DSgQETxuSiXkesP-P7JHuemnE6QJIa-Nlw/edit?usp=sharing"",""บุรีรัมย์!M361"")+IMPORTRANGE(""https://docs.google.com/spreadsheets/d/1l6IZ8xUPgMrESzc"&amp;"TYwhA1k_tPjeQjJPTqlm8Gd9eU5g/edit?usp=sharing"",""มหาสารคาม!M361"")+IMPORTRANGE(""https://docs.google.com/spreadsheets/d/1uB74YLqNjWX6FObjekfB2NtSYigTQyR2rq9u4Ub2Sq4/edit?usp=sharing"",""มุกดาหาร!M361"")+IMPORTRANGE(""https://docs.google.com/spreadsheets/"&amp;"d/1NexK3geCPxCTO1fzNF8dPec7yZyUx3OaWkFBC9HsQOo/edit?usp=sharing"",""ยโสธร!M361"")+IMPORTRANGE(""https://docs.google.com/spreadsheets/d/1v_cJrbBlyqmnHPReHk44g9NrMRdENNlSy_E_c5M9fIg/edit?usp=sharing"",""ร้อยเอ็ด!M361"")+IMPORTRANGE(""https://docs.google.com"&amp;"/spreadsheets/d/1Ul4RCpCX66NxYADU1QpwAPjOmBzW64SsT11s1wzXw_c/edit?usp=sharing"",""เลย!M361"")+IMPORTRANGE(""https://docs.google.com/spreadsheets/d/1bRrNKwbHDVktQG10isr5vbWRtt5spIZPpkOSWgbT5ug/edit?usp=sharing"",""ศรีสะเกษ!M361"")+IMPORTRANGE(""https://doc"&amp;"s.google.com/spreadsheets/d/17P34_Ow5kFBfdQD0qspb2UuPX5zpi6WMrQzslghyvrI/edit?usp=sharing"",""สกลนคร!M361"")+IMPORTRANGE(""https://docs.google.com/spreadsheets/d/1yswqbM3-AEpThF3ZSUa1AcmHnmRTF1vlJ1CZGcJ8YuU/edit?usp=sharing"",""สุรินทร์!M361"")+IMPORTRANG"&amp;"E(""https://docs.google.com/spreadsheets/d/13JHU_EFbsQOUQ0JSQ3dWy1VTRosIWcDq6Nc99z2qzdc/edit?usp=sharing"",""หนองคาย!M361"")+IMPORTRANGE(""https://docs.google.com/spreadsheets/d/1Hx73zIEgVdDZZaYSTc46Dqv64atFhpr3GelxLbaIN8A/edit?usp=sharing"",""หนองบัวลำภู"&amp;"!M361"")+IMPORTRANGE(""https://docs.google.com/spreadsheets/d/1lFxr3ctmjFN90yc-xV6jrQ9Ty8BKYVBWnAZ15wcNIJc/edit?usp=sharing"",""อำนาจเจริญ!M361"")+IMPORTRANGE(""https://docs.google.com/spreadsheets/d/1gF7RJpRnL-1oyjyeWxs5SFWEH7y8ahOZsQlyp2A2e-A/edit?usp=s"&amp;"haring"",""อุดรธานี!M361"")+IMPORTRANGE(""https://docs.google.com/spreadsheets/d/1kfLP0j3INXRa8bTDpcEmoWewMBV61jlFlfzczfjWIgc/edit?usp=sharing"",""อุบลราชธานี!M361"")"),13893750)</f>
        <v>13893750</v>
      </c>
      <c r="N361" s="59">
        <f ca="1">IFERROR(__xludf.DUMMYFUNCTION("IMPORTRANGE(""https://docs.google.com/spreadsheets/d/1yhBcrRPreicbMKl9Bu_Snb2-OcQAF62RKfhTLhJ2eAA/edit?usp=sharing"",""กาฬสินธุ์!N361"")+IMPORTRANGE(""https://docs.google.com/spreadsheets/d/1aHkj4IaQMThhwWwevcOymEh837vdxeC_PycurhTbGFA/edit?usp=sharing"","&amp;"""ขอนแก่น!N361"")+IMPORTRANGE(""https://docs.google.com/spreadsheets/d/1FvTu2DsIWUjP6WCWra38Bkj_oOl_sOMf14r5Fg5srxU/edit?usp=sharing"",""ชัยภูมิ!N361"")+IMPORTRANGE(""https://docs.google.com/spreadsheets/d/1XVB7oCJ3pr-vBUdflwPQ8Z2LlzhnCvZaaYjAfP-647E/edit"&amp;"?usp=sharing"",""นครพนม!N361"")+IMPORTRANGE(""https://docs.google.com/spreadsheets/d/1Mnpb-8PYAgn85W6KOTD40hc_Xc55CaLfHoGAbrZ8tls/edit?usp=sharing"",""นครราชสีมา!N361"")+IMPORTRANGE(""https://docs.google.com/spreadsheets/d/1xoDLGBv9CYbyosIhki0kTq6IpYNj-gp"&amp;"jxfobnaDiut0/edit?usp=sharing"",""บึงกาฬ!N361"")+IMPORTRANGE(""https://docs.google.com/spreadsheets/d/1MMPq-JyI6DSgQETxuSiXkesP-P7JHuemnE6QJIa-Nlw/edit?usp=sharing"",""บุรีรัมย์!N361"")+IMPORTRANGE(""https://docs.google.com/spreadsheets/d/1l6IZ8xUPgMrESzc"&amp;"TYwhA1k_tPjeQjJPTqlm8Gd9eU5g/edit?usp=sharing"",""มหาสารคาม!N361"")+IMPORTRANGE(""https://docs.google.com/spreadsheets/d/1uB74YLqNjWX6FObjekfB2NtSYigTQyR2rq9u4Ub2Sq4/edit?usp=sharing"",""มุกดาหาร!N361"")+IMPORTRANGE(""https://docs.google.com/spreadsheets/"&amp;"d/1NexK3geCPxCTO1fzNF8dPec7yZyUx3OaWkFBC9HsQOo/edit?usp=sharing"",""ยโสธร!N361"")+IMPORTRANGE(""https://docs.google.com/spreadsheets/d/1v_cJrbBlyqmnHPReHk44g9NrMRdENNlSy_E_c5M9fIg/edit?usp=sharing"",""ร้อยเอ็ด!N361"")+IMPORTRANGE(""https://docs.google.com"&amp;"/spreadsheets/d/1Ul4RCpCX66NxYADU1QpwAPjOmBzW64SsT11s1wzXw_c/edit?usp=sharing"",""เลย!N361"")+IMPORTRANGE(""https://docs.google.com/spreadsheets/d/1bRrNKwbHDVktQG10isr5vbWRtt5spIZPpkOSWgbT5ug/edit?usp=sharing"",""ศรีสะเกษ!N361"")+IMPORTRANGE(""https://doc"&amp;"s.google.com/spreadsheets/d/17P34_Ow5kFBfdQD0qspb2UuPX5zpi6WMrQzslghyvrI/edit?usp=sharing"",""สกลนคร!N361"")+IMPORTRANGE(""https://docs.google.com/spreadsheets/d/1yswqbM3-AEpThF3ZSUa1AcmHnmRTF1vlJ1CZGcJ8YuU/edit?usp=sharing"",""สุรินทร์!N361"")+IMPORTRANG"&amp;"E(""https://docs.google.com/spreadsheets/d/13JHU_EFbsQOUQ0JSQ3dWy1VTRosIWcDq6Nc99z2qzdc/edit?usp=sharing"",""หนองคาย!N361"")+IMPORTRANGE(""https://docs.google.com/spreadsheets/d/1Hx73zIEgVdDZZaYSTc46Dqv64atFhpr3GelxLbaIN8A/edit?usp=sharing"",""หนองบัวลำภู"&amp;"!N361"")+IMPORTRANGE(""https://docs.google.com/spreadsheets/d/1lFxr3ctmjFN90yc-xV6jrQ9Ty8BKYVBWnAZ15wcNIJc/edit?usp=sharing"",""อำนาจเจริญ!N361"")+IMPORTRANGE(""https://docs.google.com/spreadsheets/d/1gF7RJpRnL-1oyjyeWxs5SFWEH7y8ahOZsQlyp2A2e-A/edit?usp=s"&amp;"haring"",""อุดรธานี!N361"")+IMPORTRANGE(""https://docs.google.com/spreadsheets/d/1kfLP0j3INXRa8bTDpcEmoWewMBV61jlFlfzczfjWIgc/edit?usp=sharing"",""อุบลราชธานี!N361"")"),4915947.48999999)</f>
        <v>4915947.48999999</v>
      </c>
      <c r="O361" s="59">
        <f t="shared" ca="1" si="152"/>
        <v>30.565007852729241</v>
      </c>
      <c r="P361" s="59">
        <f t="shared" ca="1" si="153"/>
        <v>35.382438074673793</v>
      </c>
    </row>
    <row r="362" spans="1:16" ht="18.75" x14ac:dyDescent="0.25">
      <c r="A362" s="157"/>
      <c r="B362" s="53"/>
      <c r="C362" s="53"/>
      <c r="D362" s="54" t="s">
        <v>21</v>
      </c>
      <c r="E362" s="53"/>
      <c r="F362" s="53"/>
      <c r="G362" s="55"/>
      <c r="H362" s="166" t="s">
        <v>12</v>
      </c>
      <c r="I362" s="164"/>
      <c r="J362" s="164"/>
      <c r="K362" s="165"/>
      <c r="L362" s="59">
        <f t="shared" ref="L362:N362" ca="1" si="157">L363+L364</f>
        <v>0</v>
      </c>
      <c r="M362" s="59">
        <f t="shared" ca="1" si="157"/>
        <v>0</v>
      </c>
      <c r="N362" s="59">
        <f t="shared" ca="1" si="157"/>
        <v>0</v>
      </c>
      <c r="O362" s="59">
        <f t="shared" ca="1" si="152"/>
        <v>0</v>
      </c>
      <c r="P362" s="59">
        <f t="shared" ca="1" si="153"/>
        <v>0</v>
      </c>
    </row>
    <row r="363" spans="1:16" ht="18.75" x14ac:dyDescent="0.25">
      <c r="A363" s="157"/>
      <c r="B363" s="53"/>
      <c r="C363" s="53"/>
      <c r="D363" s="53"/>
      <c r="E363" s="60" t="s">
        <v>18</v>
      </c>
      <c r="F363" s="53"/>
      <c r="G363" s="55"/>
      <c r="H363" s="163" t="s">
        <v>12</v>
      </c>
      <c r="I363" s="164"/>
      <c r="J363" s="164"/>
      <c r="K363" s="165"/>
      <c r="L363" s="59">
        <f ca="1">IFERROR(__xludf.DUMMYFUNCTION("IMPORTRANGE(""https://docs.google.com/spreadsheets/d/1yhBcrRPreicbMKl9Bu_Snb2-OcQAF62RKfhTLhJ2eAA/edit?usp=sharing"",""กาฬสินธุ์!L363"")+IMPORTRANGE(""https://docs.google.com/spreadsheets/d/1aHkj4IaQMThhwWwevcOymEh837vdxeC_PycurhTbGFA/edit?usp=sharing"","&amp;"""ขอนแก่น!L363"")+IMPORTRANGE(""https://docs.google.com/spreadsheets/d/1FvTu2DsIWUjP6WCWra38Bkj_oOl_sOMf14r5Fg5srxU/edit?usp=sharing"",""ชัยภูมิ!L363"")+IMPORTRANGE(""https://docs.google.com/spreadsheets/d/1XVB7oCJ3pr-vBUdflwPQ8Z2LlzhnCvZaaYjAfP-647E/edit"&amp;"?usp=sharing"",""นครพนม!L363"")+IMPORTRANGE(""https://docs.google.com/spreadsheets/d/1Mnpb-8PYAgn85W6KOTD40hc_Xc55CaLfHoGAbrZ8tls/edit?usp=sharing"",""นครราชสีมา!L363"")+IMPORTRANGE(""https://docs.google.com/spreadsheets/d/1xoDLGBv9CYbyosIhki0kTq6IpYNj-gp"&amp;"jxfobnaDiut0/edit?usp=sharing"",""บึงกาฬ!L363"")+IMPORTRANGE(""https://docs.google.com/spreadsheets/d/1MMPq-JyI6DSgQETxuSiXkesP-P7JHuemnE6QJIa-Nlw/edit?usp=sharing"",""บุรีรัมย์!L363"")+IMPORTRANGE(""https://docs.google.com/spreadsheets/d/1l6IZ8xUPgMrESzc"&amp;"TYwhA1k_tPjeQjJPTqlm8Gd9eU5g/edit?usp=sharing"",""มหาสารคาม!L363"")+IMPORTRANGE(""https://docs.google.com/spreadsheets/d/1uB74YLqNjWX6FObjekfB2NtSYigTQyR2rq9u4Ub2Sq4/edit?usp=sharing"",""มุกดาหาร!L363"")+IMPORTRANGE(""https://docs.google.com/spreadsheets/"&amp;"d/1NexK3geCPxCTO1fzNF8dPec7yZyUx3OaWkFBC9HsQOo/edit?usp=sharing"",""ยโสธร!L363"")+IMPORTRANGE(""https://docs.google.com/spreadsheets/d/1v_cJrbBlyqmnHPReHk44g9NrMRdENNlSy_E_c5M9fIg/edit?usp=sharing"",""ร้อยเอ็ด!L363"")+IMPORTRANGE(""https://docs.google.com"&amp;"/spreadsheets/d/1Ul4RCpCX66NxYADU1QpwAPjOmBzW64SsT11s1wzXw_c/edit?usp=sharing"",""เลย!L363"")+IMPORTRANGE(""https://docs.google.com/spreadsheets/d/1bRrNKwbHDVktQG10isr5vbWRtt5spIZPpkOSWgbT5ug/edit?usp=sharing"",""ศรีสะเกษ!L363"")+IMPORTRANGE(""https://doc"&amp;"s.google.com/spreadsheets/d/17P34_Ow5kFBfdQD0qspb2UuPX5zpi6WMrQzslghyvrI/edit?usp=sharing"",""สกลนคร!L363"")+IMPORTRANGE(""https://docs.google.com/spreadsheets/d/1yswqbM3-AEpThF3ZSUa1AcmHnmRTF1vlJ1CZGcJ8YuU/edit?usp=sharing"",""สุรินทร์!L363"")+IMPORTRANG"&amp;"E(""https://docs.google.com/spreadsheets/d/13JHU_EFbsQOUQ0JSQ3dWy1VTRosIWcDq6Nc99z2qzdc/edit?usp=sharing"",""หนองคาย!L363"")+IMPORTRANGE(""https://docs.google.com/spreadsheets/d/1Hx73zIEgVdDZZaYSTc46Dqv64atFhpr3GelxLbaIN8A/edit?usp=sharing"",""หนองบัวลำภู"&amp;"!L363"")+IMPORTRANGE(""https://docs.google.com/spreadsheets/d/1lFxr3ctmjFN90yc-xV6jrQ9Ty8BKYVBWnAZ15wcNIJc/edit?usp=sharing"",""อำนาจเจริญ!L363"")+IMPORTRANGE(""https://docs.google.com/spreadsheets/d/1gF7RJpRnL-1oyjyeWxs5SFWEH7y8ahOZsQlyp2A2e-A/edit?usp=s"&amp;"haring"",""อุดรธานี!L363"")+IMPORTRANGE(""https://docs.google.com/spreadsheets/d/1kfLP0j3INXRa8bTDpcEmoWewMBV61jlFlfzczfjWIgc/edit?usp=sharing"",""อุบลราชธานี!L363"")"),0)</f>
        <v>0</v>
      </c>
      <c r="M363" s="59">
        <f ca="1">IFERROR(__xludf.DUMMYFUNCTION("IMPORTRANGE(""https://docs.google.com/spreadsheets/d/1yhBcrRPreicbMKl9Bu_Snb2-OcQAF62RKfhTLhJ2eAA/edit?usp=sharing"",""กาฬสินธุ์!M363"")+IMPORTRANGE(""https://docs.google.com/spreadsheets/d/1aHkj4IaQMThhwWwevcOymEh837vdxeC_PycurhTbGFA/edit?usp=sharing"","&amp;"""ขอนแก่น!M363"")+IMPORTRANGE(""https://docs.google.com/spreadsheets/d/1FvTu2DsIWUjP6WCWra38Bkj_oOl_sOMf14r5Fg5srxU/edit?usp=sharing"",""ชัยภูมิ!M363"")+IMPORTRANGE(""https://docs.google.com/spreadsheets/d/1XVB7oCJ3pr-vBUdflwPQ8Z2LlzhnCvZaaYjAfP-647E/edit"&amp;"?usp=sharing"",""นครพนม!M363"")+IMPORTRANGE(""https://docs.google.com/spreadsheets/d/1Mnpb-8PYAgn85W6KOTD40hc_Xc55CaLfHoGAbrZ8tls/edit?usp=sharing"",""นครราชสีมา!M363"")+IMPORTRANGE(""https://docs.google.com/spreadsheets/d/1xoDLGBv9CYbyosIhki0kTq6IpYNj-gp"&amp;"jxfobnaDiut0/edit?usp=sharing"",""บึงกาฬ!M363"")+IMPORTRANGE(""https://docs.google.com/spreadsheets/d/1MMPq-JyI6DSgQETxuSiXkesP-P7JHuemnE6QJIa-Nlw/edit?usp=sharing"",""บุรีรัมย์!M363"")+IMPORTRANGE(""https://docs.google.com/spreadsheets/d/1l6IZ8xUPgMrESzc"&amp;"TYwhA1k_tPjeQjJPTqlm8Gd9eU5g/edit?usp=sharing"",""มหาสารคาม!M363"")+IMPORTRANGE(""https://docs.google.com/spreadsheets/d/1uB74YLqNjWX6FObjekfB2NtSYigTQyR2rq9u4Ub2Sq4/edit?usp=sharing"",""มุกดาหาร!M363"")+IMPORTRANGE(""https://docs.google.com/spreadsheets/"&amp;"d/1NexK3geCPxCTO1fzNF8dPec7yZyUx3OaWkFBC9HsQOo/edit?usp=sharing"",""ยโสธร!M363"")+IMPORTRANGE(""https://docs.google.com/spreadsheets/d/1v_cJrbBlyqmnHPReHk44g9NrMRdENNlSy_E_c5M9fIg/edit?usp=sharing"",""ร้อยเอ็ด!M363"")+IMPORTRANGE(""https://docs.google.com"&amp;"/spreadsheets/d/1Ul4RCpCX66NxYADU1QpwAPjOmBzW64SsT11s1wzXw_c/edit?usp=sharing"",""เลย!M363"")+IMPORTRANGE(""https://docs.google.com/spreadsheets/d/1bRrNKwbHDVktQG10isr5vbWRtt5spIZPpkOSWgbT5ug/edit?usp=sharing"",""ศรีสะเกษ!M363"")+IMPORTRANGE(""https://doc"&amp;"s.google.com/spreadsheets/d/17P34_Ow5kFBfdQD0qspb2UuPX5zpi6WMrQzslghyvrI/edit?usp=sharing"",""สกลนคร!M363"")+IMPORTRANGE(""https://docs.google.com/spreadsheets/d/1yswqbM3-AEpThF3ZSUa1AcmHnmRTF1vlJ1CZGcJ8YuU/edit?usp=sharing"",""สุรินทร์!M363"")+IMPORTRANG"&amp;"E(""https://docs.google.com/spreadsheets/d/13JHU_EFbsQOUQ0JSQ3dWy1VTRosIWcDq6Nc99z2qzdc/edit?usp=sharing"",""หนองคาย!M363"")+IMPORTRANGE(""https://docs.google.com/spreadsheets/d/1Hx73zIEgVdDZZaYSTc46Dqv64atFhpr3GelxLbaIN8A/edit?usp=sharing"",""หนองบัวลำภู"&amp;"!M363"")+IMPORTRANGE(""https://docs.google.com/spreadsheets/d/1lFxr3ctmjFN90yc-xV6jrQ9Ty8BKYVBWnAZ15wcNIJc/edit?usp=sharing"",""อำนาจเจริญ!M363"")+IMPORTRANGE(""https://docs.google.com/spreadsheets/d/1gF7RJpRnL-1oyjyeWxs5SFWEH7y8ahOZsQlyp2A2e-A/edit?usp=s"&amp;"haring"",""อุดรธานี!M363"")+IMPORTRANGE(""https://docs.google.com/spreadsheets/d/1kfLP0j3INXRa8bTDpcEmoWewMBV61jlFlfzczfjWIgc/edit?usp=sharing"",""อุบลราชธานี!M363"")"),0)</f>
        <v>0</v>
      </c>
      <c r="N363" s="59">
        <f ca="1">IFERROR(__xludf.DUMMYFUNCTION("IMPORTRANGE(""https://docs.google.com/spreadsheets/d/1yhBcrRPreicbMKl9Bu_Snb2-OcQAF62RKfhTLhJ2eAA/edit?usp=sharing"",""กาฬสินธุ์!N363"")+IMPORTRANGE(""https://docs.google.com/spreadsheets/d/1aHkj4IaQMThhwWwevcOymEh837vdxeC_PycurhTbGFA/edit?usp=sharing"","&amp;"""ขอนแก่น!N363"")+IMPORTRANGE(""https://docs.google.com/spreadsheets/d/1FvTu2DsIWUjP6WCWra38Bkj_oOl_sOMf14r5Fg5srxU/edit?usp=sharing"",""ชัยภูมิ!N363"")+IMPORTRANGE(""https://docs.google.com/spreadsheets/d/1XVB7oCJ3pr-vBUdflwPQ8Z2LlzhnCvZaaYjAfP-647E/edit"&amp;"?usp=sharing"",""นครพนม!N363"")+IMPORTRANGE(""https://docs.google.com/spreadsheets/d/1Mnpb-8PYAgn85W6KOTD40hc_Xc55CaLfHoGAbrZ8tls/edit?usp=sharing"",""นครราชสีมา!N363"")+IMPORTRANGE(""https://docs.google.com/spreadsheets/d/1xoDLGBv9CYbyosIhki0kTq6IpYNj-gp"&amp;"jxfobnaDiut0/edit?usp=sharing"",""บึงกาฬ!N363"")+IMPORTRANGE(""https://docs.google.com/spreadsheets/d/1MMPq-JyI6DSgQETxuSiXkesP-P7JHuemnE6QJIa-Nlw/edit?usp=sharing"",""บุรีรัมย์!N363"")+IMPORTRANGE(""https://docs.google.com/spreadsheets/d/1l6IZ8xUPgMrESzc"&amp;"TYwhA1k_tPjeQjJPTqlm8Gd9eU5g/edit?usp=sharing"",""มหาสารคาม!N363"")+IMPORTRANGE(""https://docs.google.com/spreadsheets/d/1uB74YLqNjWX6FObjekfB2NtSYigTQyR2rq9u4Ub2Sq4/edit?usp=sharing"",""มุกดาหาร!N363"")+IMPORTRANGE(""https://docs.google.com/spreadsheets/"&amp;"d/1NexK3geCPxCTO1fzNF8dPec7yZyUx3OaWkFBC9HsQOo/edit?usp=sharing"",""ยโสธร!N363"")+IMPORTRANGE(""https://docs.google.com/spreadsheets/d/1v_cJrbBlyqmnHPReHk44g9NrMRdENNlSy_E_c5M9fIg/edit?usp=sharing"",""ร้อยเอ็ด!N363"")+IMPORTRANGE(""https://docs.google.com"&amp;"/spreadsheets/d/1Ul4RCpCX66NxYADU1QpwAPjOmBzW64SsT11s1wzXw_c/edit?usp=sharing"",""เลย!N363"")+IMPORTRANGE(""https://docs.google.com/spreadsheets/d/1bRrNKwbHDVktQG10isr5vbWRtt5spIZPpkOSWgbT5ug/edit?usp=sharing"",""ศรีสะเกษ!N363"")+IMPORTRANGE(""https://doc"&amp;"s.google.com/spreadsheets/d/17P34_Ow5kFBfdQD0qspb2UuPX5zpi6WMrQzslghyvrI/edit?usp=sharing"",""สกลนคร!N363"")+IMPORTRANGE(""https://docs.google.com/spreadsheets/d/1yswqbM3-AEpThF3ZSUa1AcmHnmRTF1vlJ1CZGcJ8YuU/edit?usp=sharing"",""สุรินทร์!N363"")+IMPORTRANG"&amp;"E(""https://docs.google.com/spreadsheets/d/13JHU_EFbsQOUQ0JSQ3dWy1VTRosIWcDq6Nc99z2qzdc/edit?usp=sharing"",""หนองคาย!N363"")+IMPORTRANGE(""https://docs.google.com/spreadsheets/d/1Hx73zIEgVdDZZaYSTc46Dqv64atFhpr3GelxLbaIN8A/edit?usp=sharing"",""หนองบัวลำภู"&amp;"!N363"")+IMPORTRANGE(""https://docs.google.com/spreadsheets/d/1lFxr3ctmjFN90yc-xV6jrQ9Ty8BKYVBWnAZ15wcNIJc/edit?usp=sharing"",""อำนาจเจริญ!N363"")+IMPORTRANGE(""https://docs.google.com/spreadsheets/d/1gF7RJpRnL-1oyjyeWxs5SFWEH7y8ahOZsQlyp2A2e-A/edit?usp=s"&amp;"haring"",""อุดรธานี!N363"")+IMPORTRANGE(""https://docs.google.com/spreadsheets/d/1kfLP0j3INXRa8bTDpcEmoWewMBV61jlFlfzczfjWIgc/edit?usp=sharing"",""อุบลราชธานี!N363"")"),0)</f>
        <v>0</v>
      </c>
      <c r="O363" s="59">
        <f t="shared" ca="1" si="152"/>
        <v>0</v>
      </c>
      <c r="P363" s="59">
        <f t="shared" ca="1" si="153"/>
        <v>0</v>
      </c>
    </row>
    <row r="364" spans="1:16" ht="18.75" x14ac:dyDescent="0.25">
      <c r="A364" s="157"/>
      <c r="B364" s="53"/>
      <c r="C364" s="53"/>
      <c r="D364" s="53"/>
      <c r="E364" s="60" t="s">
        <v>19</v>
      </c>
      <c r="F364" s="53"/>
      <c r="G364" s="55"/>
      <c r="H364" s="166" t="s">
        <v>12</v>
      </c>
      <c r="I364" s="164"/>
      <c r="J364" s="164"/>
      <c r="K364" s="165"/>
      <c r="L364" s="59">
        <f ca="1">IFERROR(__xludf.DUMMYFUNCTION("IMPORTRANGE(""https://docs.google.com/spreadsheets/d/1yhBcrRPreicbMKl9Bu_Snb2-OcQAF62RKfhTLhJ2eAA/edit?usp=sharing"",""กาฬสินธุ์!L364"")+IMPORTRANGE(""https://docs.google.com/spreadsheets/d/1aHkj4IaQMThhwWwevcOymEh837vdxeC_PycurhTbGFA/edit?usp=sharing"","&amp;"""ขอนแก่น!L364"")+IMPORTRANGE(""https://docs.google.com/spreadsheets/d/1FvTu2DsIWUjP6WCWra38Bkj_oOl_sOMf14r5Fg5srxU/edit?usp=sharing"",""ชัยภูมิ!L364"")+IMPORTRANGE(""https://docs.google.com/spreadsheets/d/1XVB7oCJ3pr-vBUdflwPQ8Z2LlzhnCvZaaYjAfP-647E/edit"&amp;"?usp=sharing"",""นครพนม!L364"")+IMPORTRANGE(""https://docs.google.com/spreadsheets/d/1Mnpb-8PYAgn85W6KOTD40hc_Xc55CaLfHoGAbrZ8tls/edit?usp=sharing"",""นครราชสีมา!L364"")+IMPORTRANGE(""https://docs.google.com/spreadsheets/d/1xoDLGBv9CYbyosIhki0kTq6IpYNj-gp"&amp;"jxfobnaDiut0/edit?usp=sharing"",""บึงกาฬ!L364"")+IMPORTRANGE(""https://docs.google.com/spreadsheets/d/1MMPq-JyI6DSgQETxuSiXkesP-P7JHuemnE6QJIa-Nlw/edit?usp=sharing"",""บุรีรัมย์!L364"")+IMPORTRANGE(""https://docs.google.com/spreadsheets/d/1l6IZ8xUPgMrESzc"&amp;"TYwhA1k_tPjeQjJPTqlm8Gd9eU5g/edit?usp=sharing"",""มหาสารคาม!L364"")+IMPORTRANGE(""https://docs.google.com/spreadsheets/d/1uB74YLqNjWX6FObjekfB2NtSYigTQyR2rq9u4Ub2Sq4/edit?usp=sharing"",""มุกดาหาร!L364"")+IMPORTRANGE(""https://docs.google.com/spreadsheets/"&amp;"d/1NexK3geCPxCTO1fzNF8dPec7yZyUx3OaWkFBC9HsQOo/edit?usp=sharing"",""ยโสธร!L364"")+IMPORTRANGE(""https://docs.google.com/spreadsheets/d/1v_cJrbBlyqmnHPReHk44g9NrMRdENNlSy_E_c5M9fIg/edit?usp=sharing"",""ร้อยเอ็ด!L364"")+IMPORTRANGE(""https://docs.google.com"&amp;"/spreadsheets/d/1Ul4RCpCX66NxYADU1QpwAPjOmBzW64SsT11s1wzXw_c/edit?usp=sharing"",""เลย!L364"")+IMPORTRANGE(""https://docs.google.com/spreadsheets/d/1bRrNKwbHDVktQG10isr5vbWRtt5spIZPpkOSWgbT5ug/edit?usp=sharing"",""ศรีสะเกษ!L364"")+IMPORTRANGE(""https://doc"&amp;"s.google.com/spreadsheets/d/17P34_Ow5kFBfdQD0qspb2UuPX5zpi6WMrQzslghyvrI/edit?usp=sharing"",""สกลนคร!L364"")+IMPORTRANGE(""https://docs.google.com/spreadsheets/d/1yswqbM3-AEpThF3ZSUa1AcmHnmRTF1vlJ1CZGcJ8YuU/edit?usp=sharing"",""สุรินทร์!L364"")+IMPORTRANG"&amp;"E(""https://docs.google.com/spreadsheets/d/13JHU_EFbsQOUQ0JSQ3dWy1VTRosIWcDq6Nc99z2qzdc/edit?usp=sharing"",""หนองคาย!L364"")+IMPORTRANGE(""https://docs.google.com/spreadsheets/d/1Hx73zIEgVdDZZaYSTc46Dqv64atFhpr3GelxLbaIN8A/edit?usp=sharing"",""หนองบัวลำภู"&amp;"!L364"")+IMPORTRANGE(""https://docs.google.com/spreadsheets/d/1lFxr3ctmjFN90yc-xV6jrQ9Ty8BKYVBWnAZ15wcNIJc/edit?usp=sharing"",""อำนาจเจริญ!L364"")+IMPORTRANGE(""https://docs.google.com/spreadsheets/d/1gF7RJpRnL-1oyjyeWxs5SFWEH7y8ahOZsQlyp2A2e-A/edit?usp=s"&amp;"haring"",""อุดรธานี!L364"")+IMPORTRANGE(""https://docs.google.com/spreadsheets/d/1kfLP0j3INXRa8bTDpcEmoWewMBV61jlFlfzczfjWIgc/edit?usp=sharing"",""อุบลราชธานี!L364"")"),0)</f>
        <v>0</v>
      </c>
      <c r="M364" s="59">
        <f ca="1">IFERROR(__xludf.DUMMYFUNCTION("IMPORTRANGE(""https://docs.google.com/spreadsheets/d/1yhBcrRPreicbMKl9Bu_Snb2-OcQAF62RKfhTLhJ2eAA/edit?usp=sharing"",""กาฬสินธุ์!M364"")+IMPORTRANGE(""https://docs.google.com/spreadsheets/d/1aHkj4IaQMThhwWwevcOymEh837vdxeC_PycurhTbGFA/edit?usp=sharing"","&amp;"""ขอนแก่น!M364"")+IMPORTRANGE(""https://docs.google.com/spreadsheets/d/1FvTu2DsIWUjP6WCWra38Bkj_oOl_sOMf14r5Fg5srxU/edit?usp=sharing"",""ชัยภูมิ!M364"")+IMPORTRANGE(""https://docs.google.com/spreadsheets/d/1XVB7oCJ3pr-vBUdflwPQ8Z2LlzhnCvZaaYjAfP-647E/edit"&amp;"?usp=sharing"",""นครพนม!M364"")+IMPORTRANGE(""https://docs.google.com/spreadsheets/d/1Mnpb-8PYAgn85W6KOTD40hc_Xc55CaLfHoGAbrZ8tls/edit?usp=sharing"",""นครราชสีมา!M364"")+IMPORTRANGE(""https://docs.google.com/spreadsheets/d/1xoDLGBv9CYbyosIhki0kTq6IpYNj-gp"&amp;"jxfobnaDiut0/edit?usp=sharing"",""บึงกาฬ!M364"")+IMPORTRANGE(""https://docs.google.com/spreadsheets/d/1MMPq-JyI6DSgQETxuSiXkesP-P7JHuemnE6QJIa-Nlw/edit?usp=sharing"",""บุรีรัมย์!M364"")+IMPORTRANGE(""https://docs.google.com/spreadsheets/d/1l6IZ8xUPgMrESzc"&amp;"TYwhA1k_tPjeQjJPTqlm8Gd9eU5g/edit?usp=sharing"",""มหาสารคาม!M364"")+IMPORTRANGE(""https://docs.google.com/spreadsheets/d/1uB74YLqNjWX6FObjekfB2NtSYigTQyR2rq9u4Ub2Sq4/edit?usp=sharing"",""มุกดาหาร!M364"")+IMPORTRANGE(""https://docs.google.com/spreadsheets/"&amp;"d/1NexK3geCPxCTO1fzNF8dPec7yZyUx3OaWkFBC9HsQOo/edit?usp=sharing"",""ยโสธร!M364"")+IMPORTRANGE(""https://docs.google.com/spreadsheets/d/1v_cJrbBlyqmnHPReHk44g9NrMRdENNlSy_E_c5M9fIg/edit?usp=sharing"",""ร้อยเอ็ด!M364"")+IMPORTRANGE(""https://docs.google.com"&amp;"/spreadsheets/d/1Ul4RCpCX66NxYADU1QpwAPjOmBzW64SsT11s1wzXw_c/edit?usp=sharing"",""เลย!M364"")+IMPORTRANGE(""https://docs.google.com/spreadsheets/d/1bRrNKwbHDVktQG10isr5vbWRtt5spIZPpkOSWgbT5ug/edit?usp=sharing"",""ศรีสะเกษ!M364"")+IMPORTRANGE(""https://doc"&amp;"s.google.com/spreadsheets/d/17P34_Ow5kFBfdQD0qspb2UuPX5zpi6WMrQzslghyvrI/edit?usp=sharing"",""สกลนคร!M364"")+IMPORTRANGE(""https://docs.google.com/spreadsheets/d/1yswqbM3-AEpThF3ZSUa1AcmHnmRTF1vlJ1CZGcJ8YuU/edit?usp=sharing"",""สุรินทร์!M364"")+IMPORTRANG"&amp;"E(""https://docs.google.com/spreadsheets/d/13JHU_EFbsQOUQ0JSQ3dWy1VTRosIWcDq6Nc99z2qzdc/edit?usp=sharing"",""หนองคาย!M364"")+IMPORTRANGE(""https://docs.google.com/spreadsheets/d/1Hx73zIEgVdDZZaYSTc46Dqv64atFhpr3GelxLbaIN8A/edit?usp=sharing"",""หนองบัวลำภู"&amp;"!M364"")+IMPORTRANGE(""https://docs.google.com/spreadsheets/d/1lFxr3ctmjFN90yc-xV6jrQ9Ty8BKYVBWnAZ15wcNIJc/edit?usp=sharing"",""อำนาจเจริญ!M364"")+IMPORTRANGE(""https://docs.google.com/spreadsheets/d/1gF7RJpRnL-1oyjyeWxs5SFWEH7y8ahOZsQlyp2A2e-A/edit?usp=s"&amp;"haring"",""อุดรธานี!M364"")+IMPORTRANGE(""https://docs.google.com/spreadsheets/d/1kfLP0j3INXRa8bTDpcEmoWewMBV61jlFlfzczfjWIgc/edit?usp=sharing"",""อุบลราชธานี!M364"")"),0)</f>
        <v>0</v>
      </c>
      <c r="N364" s="59">
        <f ca="1">IFERROR(__xludf.DUMMYFUNCTION("IMPORTRANGE(""https://docs.google.com/spreadsheets/d/1yhBcrRPreicbMKl9Bu_Snb2-OcQAF62RKfhTLhJ2eAA/edit?usp=sharing"",""กาฬสินธุ์!N364"")+IMPORTRANGE(""https://docs.google.com/spreadsheets/d/1aHkj4IaQMThhwWwevcOymEh837vdxeC_PycurhTbGFA/edit?usp=sharing"","&amp;"""ขอนแก่น!N364"")+IMPORTRANGE(""https://docs.google.com/spreadsheets/d/1FvTu2DsIWUjP6WCWra38Bkj_oOl_sOMf14r5Fg5srxU/edit?usp=sharing"",""ชัยภูมิ!N364"")+IMPORTRANGE(""https://docs.google.com/spreadsheets/d/1XVB7oCJ3pr-vBUdflwPQ8Z2LlzhnCvZaaYjAfP-647E/edit"&amp;"?usp=sharing"",""นครพนม!N364"")+IMPORTRANGE(""https://docs.google.com/spreadsheets/d/1Mnpb-8PYAgn85W6KOTD40hc_Xc55CaLfHoGAbrZ8tls/edit?usp=sharing"",""นครราชสีมา!N364"")+IMPORTRANGE(""https://docs.google.com/spreadsheets/d/1xoDLGBv9CYbyosIhki0kTq6IpYNj-gp"&amp;"jxfobnaDiut0/edit?usp=sharing"",""บึงกาฬ!N364"")+IMPORTRANGE(""https://docs.google.com/spreadsheets/d/1MMPq-JyI6DSgQETxuSiXkesP-P7JHuemnE6QJIa-Nlw/edit?usp=sharing"",""บุรีรัมย์!N364"")+IMPORTRANGE(""https://docs.google.com/spreadsheets/d/1l6IZ8xUPgMrESzc"&amp;"TYwhA1k_tPjeQjJPTqlm8Gd9eU5g/edit?usp=sharing"",""มหาสารคาม!N364"")+IMPORTRANGE(""https://docs.google.com/spreadsheets/d/1uB74YLqNjWX6FObjekfB2NtSYigTQyR2rq9u4Ub2Sq4/edit?usp=sharing"",""มุกดาหาร!N364"")+IMPORTRANGE(""https://docs.google.com/spreadsheets/"&amp;"d/1NexK3geCPxCTO1fzNF8dPec7yZyUx3OaWkFBC9HsQOo/edit?usp=sharing"",""ยโสธร!N364"")+IMPORTRANGE(""https://docs.google.com/spreadsheets/d/1v_cJrbBlyqmnHPReHk44g9NrMRdENNlSy_E_c5M9fIg/edit?usp=sharing"",""ร้อยเอ็ด!N364"")+IMPORTRANGE(""https://docs.google.com"&amp;"/spreadsheets/d/1Ul4RCpCX66NxYADU1QpwAPjOmBzW64SsT11s1wzXw_c/edit?usp=sharing"",""เลย!N364"")+IMPORTRANGE(""https://docs.google.com/spreadsheets/d/1bRrNKwbHDVktQG10isr5vbWRtt5spIZPpkOSWgbT5ug/edit?usp=sharing"",""ศรีสะเกษ!N364"")+IMPORTRANGE(""https://doc"&amp;"s.google.com/spreadsheets/d/17P34_Ow5kFBfdQD0qspb2UuPX5zpi6WMrQzslghyvrI/edit?usp=sharing"",""สกลนคร!N364"")+IMPORTRANGE(""https://docs.google.com/spreadsheets/d/1yswqbM3-AEpThF3ZSUa1AcmHnmRTF1vlJ1CZGcJ8YuU/edit?usp=sharing"",""สุรินทร์!N364"")+IMPORTRANG"&amp;"E(""https://docs.google.com/spreadsheets/d/13JHU_EFbsQOUQ0JSQ3dWy1VTRosIWcDq6Nc99z2qzdc/edit?usp=sharing"",""หนองคาย!N364"")+IMPORTRANGE(""https://docs.google.com/spreadsheets/d/1Hx73zIEgVdDZZaYSTc46Dqv64atFhpr3GelxLbaIN8A/edit?usp=sharing"",""หนองบัวลำภู"&amp;"!N364"")+IMPORTRANGE(""https://docs.google.com/spreadsheets/d/1lFxr3ctmjFN90yc-xV6jrQ9Ty8BKYVBWnAZ15wcNIJc/edit?usp=sharing"",""อำนาจเจริญ!N364"")+IMPORTRANGE(""https://docs.google.com/spreadsheets/d/1gF7RJpRnL-1oyjyeWxs5SFWEH7y8ahOZsQlyp2A2e-A/edit?usp=s"&amp;"haring"",""อุดรธานี!N364"")+IMPORTRANGE(""https://docs.google.com/spreadsheets/d/1kfLP0j3INXRa8bTDpcEmoWewMBV61jlFlfzczfjWIgc/edit?usp=sharing"",""อุบลราชธานี!N364"")"),0)</f>
        <v>0</v>
      </c>
      <c r="O364" s="59">
        <f t="shared" ca="1" si="152"/>
        <v>0</v>
      </c>
      <c r="P364" s="59">
        <f t="shared" ca="1" si="153"/>
        <v>0</v>
      </c>
    </row>
    <row r="365" spans="1:16" ht="19.5" x14ac:dyDescent="0.3">
      <c r="A365" s="279"/>
      <c r="B365" s="280"/>
      <c r="C365" s="282"/>
      <c r="D365" s="442" t="s">
        <v>142</v>
      </c>
      <c r="E365" s="282"/>
      <c r="F365" s="282"/>
      <c r="G365" s="283"/>
      <c r="H365" s="443" t="s">
        <v>33</v>
      </c>
      <c r="I365" s="444">
        <f t="shared" ref="I365:J365" ca="1" si="158">I371</f>
        <v>8150</v>
      </c>
      <c r="J365" s="445">
        <f t="shared" ca="1" si="158"/>
        <v>1712</v>
      </c>
      <c r="K365" s="446">
        <f ca="1">IF(I365&gt;0,J365*100/I365,0)</f>
        <v>21.006134969325153</v>
      </c>
      <c r="L365" s="287"/>
      <c r="M365" s="287"/>
      <c r="N365" s="287"/>
      <c r="O365" s="287"/>
      <c r="P365" s="287"/>
    </row>
    <row r="366" spans="1:16" ht="19.5" x14ac:dyDescent="0.3">
      <c r="A366" s="167"/>
      <c r="B366" s="168"/>
      <c r="C366" s="158" t="s">
        <v>16</v>
      </c>
      <c r="D366" s="169" t="s">
        <v>36</v>
      </c>
      <c r="E366" s="170"/>
      <c r="F366" s="170"/>
      <c r="G366" s="171"/>
      <c r="H366" s="172"/>
      <c r="I366" s="57"/>
      <c r="J366" s="57"/>
      <c r="K366" s="58"/>
      <c r="L366" s="165"/>
      <c r="M366" s="165"/>
      <c r="N366" s="165"/>
      <c r="O366" s="165"/>
      <c r="P366" s="165"/>
    </row>
    <row r="367" spans="1:16" ht="18.75" x14ac:dyDescent="0.25">
      <c r="A367" s="167"/>
      <c r="B367" s="174"/>
      <c r="C367" s="168"/>
      <c r="D367" s="174"/>
      <c r="E367" s="173" t="s">
        <v>143</v>
      </c>
      <c r="F367" s="174"/>
      <c r="G367" s="172"/>
      <c r="H367" s="183" t="s">
        <v>33</v>
      </c>
      <c r="I367" s="194">
        <v>0</v>
      </c>
      <c r="J367" s="181">
        <f ca="1">IFERROR(__xludf.DUMMYFUNCTION("IMPORTRANGE(""https://docs.google.com/spreadsheets/d/1yhBcrRPreicbMKl9Bu_Snb2-OcQAF62RKfhTLhJ2eAA/edit?usp=sharing"",""กาฬสินธุ์!J367"")+IMPORTRANGE(""https://docs.google.com/spreadsheets/d/1aHkj4IaQMThhwWwevcOymEh837vdxeC_PycurhTbGFA/edit?usp=sharing"","&amp;"""ขอนแก่น!J367"")+IMPORTRANGE(""https://docs.google.com/spreadsheets/d/1FvTu2DsIWUjP6WCWra38Bkj_oOl_sOMf14r5Fg5srxU/edit?usp=sharing"",""ชัยภูมิ!J367"")+IMPORTRANGE(""https://docs.google.com/spreadsheets/d/1XVB7oCJ3pr-vBUdflwPQ8Z2LlzhnCvZaaYjAfP-647E/edit"&amp;"?usp=sharing"",""นครพนม!J367"")+IMPORTRANGE(""https://docs.google.com/spreadsheets/d/1Mnpb-8PYAgn85W6KOTD40hc_Xc55CaLfHoGAbrZ8tls/edit?usp=sharing"",""นครราชสีมา!J367"")+IMPORTRANGE(""https://docs.google.com/spreadsheets/d/1xoDLGBv9CYbyosIhki0kTq6IpYNj-gp"&amp;"jxfobnaDiut0/edit?usp=sharing"",""บึงกาฬ!J367"")+IMPORTRANGE(""https://docs.google.com/spreadsheets/d/1MMPq-JyI6DSgQETxuSiXkesP-P7JHuemnE6QJIa-Nlw/edit?usp=sharing"",""บุรีรัมย์!J367"")+IMPORTRANGE(""https://docs.google.com/spreadsheets/d/1l6IZ8xUPgMrESzc"&amp;"TYwhA1k_tPjeQjJPTqlm8Gd9eU5g/edit?usp=sharing"",""มหาสารคาม!J367"")+IMPORTRANGE(""https://docs.google.com/spreadsheets/d/1uB74YLqNjWX6FObjekfB2NtSYigTQyR2rq9u4Ub2Sq4/edit?usp=sharing"",""มุกดาหาร!J367"")+IMPORTRANGE(""https://docs.google.com/spreadsheets/"&amp;"d/1NexK3geCPxCTO1fzNF8dPec7yZyUx3OaWkFBC9HsQOo/edit?usp=sharing"",""ยโสธร!J367"")+IMPORTRANGE(""https://docs.google.com/spreadsheets/d/1v_cJrbBlyqmnHPReHk44g9NrMRdENNlSy_E_c5M9fIg/edit?usp=sharing"",""ร้อยเอ็ด!J367"")+IMPORTRANGE(""https://docs.google.com"&amp;"/spreadsheets/d/1Ul4RCpCX66NxYADU1QpwAPjOmBzW64SsT11s1wzXw_c/edit?usp=sharing"",""เลย!J367"")+IMPORTRANGE(""https://docs.google.com/spreadsheets/d/1bRrNKwbHDVktQG10isr5vbWRtt5spIZPpkOSWgbT5ug/edit?usp=sharing"",""ศรีสะเกษ!J367"")+IMPORTRANGE(""https://doc"&amp;"s.google.com/spreadsheets/d/17P34_Ow5kFBfdQD0qspb2UuPX5zpi6WMrQzslghyvrI/edit?usp=sharing"",""สกลนคร!J367"")+IMPORTRANGE(""https://docs.google.com/spreadsheets/d/1yswqbM3-AEpThF3ZSUa1AcmHnmRTF1vlJ1CZGcJ8YuU/edit?usp=sharing"",""สุรินทร์!J367"")+IMPORTRANG"&amp;"E(""https://docs.google.com/spreadsheets/d/13JHU_EFbsQOUQ0JSQ3dWy1VTRosIWcDq6Nc99z2qzdc/edit?usp=sharing"",""หนองคาย!J367"")+IMPORTRANGE(""https://docs.google.com/spreadsheets/d/1Hx73zIEgVdDZZaYSTc46Dqv64atFhpr3GelxLbaIN8A/edit?usp=sharing"",""หนองบัวลำภู"&amp;"!J367"")+IMPORTRANGE(""https://docs.google.com/spreadsheets/d/1lFxr3ctmjFN90yc-xV6jrQ9Ty8BKYVBWnAZ15wcNIJc/edit?usp=sharing"",""อำนาจเจริญ!J367"")+IMPORTRANGE(""https://docs.google.com/spreadsheets/d/1gF7RJpRnL-1oyjyeWxs5SFWEH7y8ahOZsQlyp2A2e-A/edit?usp=s"&amp;"haring"",""อุดรธานี!J367"")+IMPORTRANGE(""https://docs.google.com/spreadsheets/d/1kfLP0j3INXRa8bTDpcEmoWewMBV61jlFlfzczfjWIgc/edit?usp=sharing"",""อุบลราชธานี!J367"")"),1505)</f>
        <v>1505</v>
      </c>
      <c r="K367" s="59">
        <f t="shared" ref="K367:K372" si="159">IF(I367&gt;0,J367*100/I367,0)</f>
        <v>0</v>
      </c>
      <c r="L367" s="165"/>
      <c r="M367" s="165"/>
      <c r="N367" s="165"/>
      <c r="O367" s="165"/>
      <c r="P367" s="165"/>
    </row>
    <row r="368" spans="1:16" ht="18.75" x14ac:dyDescent="0.25">
      <c r="A368" s="167"/>
      <c r="B368" s="174"/>
      <c r="C368" s="168"/>
      <c r="D368" s="174"/>
      <c r="E368" s="174"/>
      <c r="F368" s="174"/>
      <c r="G368" s="172"/>
      <c r="H368" s="183" t="s">
        <v>44</v>
      </c>
      <c r="I368" s="181">
        <f ca="1">IFERROR(__xludf.DUMMYFUNCTION("IMPORTRANGE(""https://docs.google.com/spreadsheets/d/1yhBcrRPreicbMKl9Bu_Snb2-OcQAF62RKfhTLhJ2eAA/edit?usp=sharing"",""กาฬสินธุ์!I368"")+IMPORTRANGE(""https://docs.google.com/spreadsheets/d/1aHkj4IaQMThhwWwevcOymEh837vdxeC_PycurhTbGFA/edit?usp=sharing"","&amp;"""ขอนแก่น!I368"")+IMPORTRANGE(""https://docs.google.com/spreadsheets/d/1FvTu2DsIWUjP6WCWra38Bkj_oOl_sOMf14r5Fg5srxU/edit?usp=sharing"",""ชัยภูมิ!I368"")+IMPORTRANGE(""https://docs.google.com/spreadsheets/d/1XVB7oCJ3pr-vBUdflwPQ8Z2LlzhnCvZaaYjAfP-647E/edit"&amp;"?usp=sharing"",""นครพนม!I368"")+IMPORTRANGE(""https://docs.google.com/spreadsheets/d/1Mnpb-8PYAgn85W6KOTD40hc_Xc55CaLfHoGAbrZ8tls/edit?usp=sharing"",""นครราชสีมา!I368"")+IMPORTRANGE(""https://docs.google.com/spreadsheets/d/1xoDLGBv9CYbyosIhki0kTq6IpYNj-gp"&amp;"jxfobnaDiut0/edit?usp=sharing"",""บึงกาฬ!I368"")+IMPORTRANGE(""https://docs.google.com/spreadsheets/d/1MMPq-JyI6DSgQETxuSiXkesP-P7JHuemnE6QJIa-Nlw/edit?usp=sharing"",""บุรีรัมย์!I368"")+IMPORTRANGE(""https://docs.google.com/spreadsheets/d/1l6IZ8xUPgMrESzc"&amp;"TYwhA1k_tPjeQjJPTqlm8Gd9eU5g/edit?usp=sharing"",""มหาสารคาม!I368"")+IMPORTRANGE(""https://docs.google.com/spreadsheets/d/1uB74YLqNjWX6FObjekfB2NtSYigTQyR2rq9u4Ub2Sq4/edit?usp=sharing"",""มุกดาหาร!I368"")+IMPORTRANGE(""https://docs.google.com/spreadsheets/"&amp;"d/1NexK3geCPxCTO1fzNF8dPec7yZyUx3OaWkFBC9HsQOo/edit?usp=sharing"",""ยโสธร!I368"")+IMPORTRANGE(""https://docs.google.com/spreadsheets/d/1v_cJrbBlyqmnHPReHk44g9NrMRdENNlSy_E_c5M9fIg/edit?usp=sharing"",""ร้อยเอ็ด!I368"")+IMPORTRANGE(""https://docs.google.com"&amp;"/spreadsheets/d/1Ul4RCpCX66NxYADU1QpwAPjOmBzW64SsT11s1wzXw_c/edit?usp=sharing"",""เลย!I368"")+IMPORTRANGE(""https://docs.google.com/spreadsheets/d/1bRrNKwbHDVktQG10isr5vbWRtt5spIZPpkOSWgbT5ug/edit?usp=sharing"",""ศรีสะเกษ!I368"")+IMPORTRANGE(""https://doc"&amp;"s.google.com/spreadsheets/d/17P34_Ow5kFBfdQD0qspb2UuPX5zpi6WMrQzslghyvrI/edit?usp=sharing"",""สกลนคร!I368"")+IMPORTRANGE(""https://docs.google.com/spreadsheets/d/1yswqbM3-AEpThF3ZSUa1AcmHnmRTF1vlJ1CZGcJ8YuU/edit?usp=sharing"",""สุรินทร์!I368"")+IMPORTRANG"&amp;"E(""https://docs.google.com/spreadsheets/d/13JHU_EFbsQOUQ0JSQ3dWy1VTRosIWcDq6Nc99z2qzdc/edit?usp=sharing"",""หนองคาย!I368"")+IMPORTRANGE(""https://docs.google.com/spreadsheets/d/1Hx73zIEgVdDZZaYSTc46Dqv64atFhpr3GelxLbaIN8A/edit?usp=sharing"",""หนองบัวลำภู"&amp;"!I368"")+IMPORTRANGE(""https://docs.google.com/spreadsheets/d/1lFxr3ctmjFN90yc-xV6jrQ9Ty8BKYVBWnAZ15wcNIJc/edit?usp=sharing"",""อำนาจเจริญ!I368"")+IMPORTRANGE(""https://docs.google.com/spreadsheets/d/1gF7RJpRnL-1oyjyeWxs5SFWEH7y8ahOZsQlyp2A2e-A/edit?usp=s"&amp;"haring"",""อุดรธานี!I368"")+IMPORTRANGE(""https://docs.google.com/spreadsheets/d/1kfLP0j3INXRa8bTDpcEmoWewMBV61jlFlfzczfjWIgc/edit?usp=sharing"",""อุบลราชธานี!I368"")"),72275)</f>
        <v>72275</v>
      </c>
      <c r="J368" s="181">
        <f ca="1">IFERROR(__xludf.DUMMYFUNCTION("IMPORTRANGE(""https://docs.google.com/spreadsheets/d/1yhBcrRPreicbMKl9Bu_Snb2-OcQAF62RKfhTLhJ2eAA/edit?usp=sharing"",""กาฬสินธุ์!J368"")+IMPORTRANGE(""https://docs.google.com/spreadsheets/d/1aHkj4IaQMThhwWwevcOymEh837vdxeC_PycurhTbGFA/edit?usp=sharing"","&amp;"""ขอนแก่น!J368"")+IMPORTRANGE(""https://docs.google.com/spreadsheets/d/1FvTu2DsIWUjP6WCWra38Bkj_oOl_sOMf14r5Fg5srxU/edit?usp=sharing"",""ชัยภูมิ!J368"")+IMPORTRANGE(""https://docs.google.com/spreadsheets/d/1XVB7oCJ3pr-vBUdflwPQ8Z2LlzhnCvZaaYjAfP-647E/edit"&amp;"?usp=sharing"",""นครพนม!J368"")+IMPORTRANGE(""https://docs.google.com/spreadsheets/d/1Mnpb-8PYAgn85W6KOTD40hc_Xc55CaLfHoGAbrZ8tls/edit?usp=sharing"",""นครราชสีมา!J368"")+IMPORTRANGE(""https://docs.google.com/spreadsheets/d/1xoDLGBv9CYbyosIhki0kTq6IpYNj-gp"&amp;"jxfobnaDiut0/edit?usp=sharing"",""บึงกาฬ!J368"")+IMPORTRANGE(""https://docs.google.com/spreadsheets/d/1MMPq-JyI6DSgQETxuSiXkesP-P7JHuemnE6QJIa-Nlw/edit?usp=sharing"",""บุรีรัมย์!J368"")+IMPORTRANGE(""https://docs.google.com/spreadsheets/d/1l6IZ8xUPgMrESzc"&amp;"TYwhA1k_tPjeQjJPTqlm8Gd9eU5g/edit?usp=sharing"",""มหาสารคาม!J368"")+IMPORTRANGE(""https://docs.google.com/spreadsheets/d/1uB74YLqNjWX6FObjekfB2NtSYigTQyR2rq9u4Ub2Sq4/edit?usp=sharing"",""มุกดาหาร!J368"")+IMPORTRANGE(""https://docs.google.com/spreadsheets/"&amp;"d/1NexK3geCPxCTO1fzNF8dPec7yZyUx3OaWkFBC9HsQOo/edit?usp=sharing"",""ยโสธร!J368"")+IMPORTRANGE(""https://docs.google.com/spreadsheets/d/1v_cJrbBlyqmnHPReHk44g9NrMRdENNlSy_E_c5M9fIg/edit?usp=sharing"",""ร้อยเอ็ด!J368"")+IMPORTRANGE(""https://docs.google.com"&amp;"/spreadsheets/d/1Ul4RCpCX66NxYADU1QpwAPjOmBzW64SsT11s1wzXw_c/edit?usp=sharing"",""เลย!J368"")+IMPORTRANGE(""https://docs.google.com/spreadsheets/d/1bRrNKwbHDVktQG10isr5vbWRtt5spIZPpkOSWgbT5ug/edit?usp=sharing"",""ศรีสะเกษ!J368"")+IMPORTRANGE(""https://doc"&amp;"s.google.com/spreadsheets/d/17P34_Ow5kFBfdQD0qspb2UuPX5zpi6WMrQzslghyvrI/edit?usp=sharing"",""สกลนคร!J368"")+IMPORTRANGE(""https://docs.google.com/spreadsheets/d/1yswqbM3-AEpThF3ZSUa1AcmHnmRTF1vlJ1CZGcJ8YuU/edit?usp=sharing"",""สุรินทร์!J368"")+IMPORTRANG"&amp;"E(""https://docs.google.com/spreadsheets/d/13JHU_EFbsQOUQ0JSQ3dWy1VTRosIWcDq6Nc99z2qzdc/edit?usp=sharing"",""หนองคาย!J368"")+IMPORTRANGE(""https://docs.google.com/spreadsheets/d/1Hx73zIEgVdDZZaYSTc46Dqv64atFhpr3GelxLbaIN8A/edit?usp=sharing"",""หนองบัวลำภู"&amp;"!J368"")+IMPORTRANGE(""https://docs.google.com/spreadsheets/d/1lFxr3ctmjFN90yc-xV6jrQ9Ty8BKYVBWnAZ15wcNIJc/edit?usp=sharing"",""อำนาจเจริญ!J368"")+IMPORTRANGE(""https://docs.google.com/spreadsheets/d/1gF7RJpRnL-1oyjyeWxs5SFWEH7y8ahOZsQlyp2A2e-A/edit?usp=s"&amp;"haring"",""อุดรธานี!J368"")+IMPORTRANGE(""https://docs.google.com/spreadsheets/d/1kfLP0j3INXRa8bTDpcEmoWewMBV61jlFlfzczfjWIgc/edit?usp=sharing"",""อุบลราชธานี!J368"")"),13921.0199999999)</f>
        <v>13921.0199999999</v>
      </c>
      <c r="K368" s="59">
        <f t="shared" ca="1" si="159"/>
        <v>19.261182981667105</v>
      </c>
      <c r="L368" s="165"/>
      <c r="M368" s="165"/>
      <c r="N368" s="165"/>
      <c r="O368" s="165"/>
      <c r="P368" s="165"/>
    </row>
    <row r="369" spans="1:16" ht="18.75" x14ac:dyDescent="0.25">
      <c r="A369" s="167"/>
      <c r="B369" s="174"/>
      <c r="C369" s="168"/>
      <c r="D369" s="174"/>
      <c r="E369" s="173" t="s">
        <v>144</v>
      </c>
      <c r="F369" s="174"/>
      <c r="G369" s="172"/>
      <c r="H369" s="179" t="s">
        <v>33</v>
      </c>
      <c r="I369" s="181">
        <f ca="1">IFERROR(__xludf.DUMMYFUNCTION("IMPORTRANGE(""https://docs.google.com/spreadsheets/d/1yhBcrRPreicbMKl9Bu_Snb2-OcQAF62RKfhTLhJ2eAA/edit?usp=sharing"",""กาฬสินธุ์!I369"")+IMPORTRANGE(""https://docs.google.com/spreadsheets/d/1aHkj4IaQMThhwWwevcOymEh837vdxeC_PycurhTbGFA/edit?usp=sharing"","&amp;"""ขอนแก่น!I369"")+IMPORTRANGE(""https://docs.google.com/spreadsheets/d/1FvTu2DsIWUjP6WCWra38Bkj_oOl_sOMf14r5Fg5srxU/edit?usp=sharing"",""ชัยภูมิ!I369"")+IMPORTRANGE(""https://docs.google.com/spreadsheets/d/1XVB7oCJ3pr-vBUdflwPQ8Z2LlzhnCvZaaYjAfP-647E/edit"&amp;"?usp=sharing"",""นครพนม!I369"")+IMPORTRANGE(""https://docs.google.com/spreadsheets/d/1Mnpb-8PYAgn85W6KOTD40hc_Xc55CaLfHoGAbrZ8tls/edit?usp=sharing"",""นครราชสีมา!I369"")+IMPORTRANGE(""https://docs.google.com/spreadsheets/d/1xoDLGBv9CYbyosIhki0kTq6IpYNj-gp"&amp;"jxfobnaDiut0/edit?usp=sharing"",""บึงกาฬ!I369"")+IMPORTRANGE(""https://docs.google.com/spreadsheets/d/1MMPq-JyI6DSgQETxuSiXkesP-P7JHuemnE6QJIa-Nlw/edit?usp=sharing"",""บุรีรัมย์!I369"")+IMPORTRANGE(""https://docs.google.com/spreadsheets/d/1l6IZ8xUPgMrESzc"&amp;"TYwhA1k_tPjeQjJPTqlm8Gd9eU5g/edit?usp=sharing"",""มหาสารคาม!I369"")+IMPORTRANGE(""https://docs.google.com/spreadsheets/d/1uB74YLqNjWX6FObjekfB2NtSYigTQyR2rq9u4Ub2Sq4/edit?usp=sharing"",""มุกดาหาร!I369"")+IMPORTRANGE(""https://docs.google.com/spreadsheets/"&amp;"d/1NexK3geCPxCTO1fzNF8dPec7yZyUx3OaWkFBC9HsQOo/edit?usp=sharing"",""ยโสธร!I369"")+IMPORTRANGE(""https://docs.google.com/spreadsheets/d/1v_cJrbBlyqmnHPReHk44g9NrMRdENNlSy_E_c5M9fIg/edit?usp=sharing"",""ร้อยเอ็ด!I369"")+IMPORTRANGE(""https://docs.google.com"&amp;"/spreadsheets/d/1Ul4RCpCX66NxYADU1QpwAPjOmBzW64SsT11s1wzXw_c/edit?usp=sharing"",""เลย!I369"")+IMPORTRANGE(""https://docs.google.com/spreadsheets/d/1bRrNKwbHDVktQG10isr5vbWRtt5spIZPpkOSWgbT5ug/edit?usp=sharing"",""ศรีสะเกษ!I369"")+IMPORTRANGE(""https://doc"&amp;"s.google.com/spreadsheets/d/17P34_Ow5kFBfdQD0qspb2UuPX5zpi6WMrQzslghyvrI/edit?usp=sharing"",""สกลนคร!I369"")+IMPORTRANGE(""https://docs.google.com/spreadsheets/d/1yswqbM3-AEpThF3ZSUa1AcmHnmRTF1vlJ1CZGcJ8YuU/edit?usp=sharing"",""สุรินทร์!I369"")+IMPORTRANG"&amp;"E(""https://docs.google.com/spreadsheets/d/13JHU_EFbsQOUQ0JSQ3dWy1VTRosIWcDq6Nc99z2qzdc/edit?usp=sharing"",""หนองคาย!I369"")+IMPORTRANGE(""https://docs.google.com/spreadsheets/d/1Hx73zIEgVdDZZaYSTc46Dqv64atFhpr3GelxLbaIN8A/edit?usp=sharing"",""หนองบัวลำภู"&amp;"!I369"")+IMPORTRANGE(""https://docs.google.com/spreadsheets/d/1lFxr3ctmjFN90yc-xV6jrQ9Ty8BKYVBWnAZ15wcNIJc/edit?usp=sharing"",""อำนาจเจริญ!I369"")+IMPORTRANGE(""https://docs.google.com/spreadsheets/d/1gF7RJpRnL-1oyjyeWxs5SFWEH7y8ahOZsQlyp2A2e-A/edit?usp=s"&amp;"haring"",""อุดรธานี!I369"")+IMPORTRANGE(""https://docs.google.com/spreadsheets/d/1kfLP0j3INXRa8bTDpcEmoWewMBV61jlFlfzczfjWIgc/edit?usp=sharing"",""อุบลราชธานี!I369"")"),12380)</f>
        <v>12380</v>
      </c>
      <c r="J369" s="181">
        <f ca="1">IFERROR(__xludf.DUMMYFUNCTION("IMPORTRANGE(""https://docs.google.com/spreadsheets/d/1yhBcrRPreicbMKl9Bu_Snb2-OcQAF62RKfhTLhJ2eAA/edit?usp=sharing"",""กาฬสินธุ์!J369"")+IMPORTRANGE(""https://docs.google.com/spreadsheets/d/1aHkj4IaQMThhwWwevcOymEh837vdxeC_PycurhTbGFA/edit?usp=sharing"","&amp;"""ขอนแก่น!J369"")+IMPORTRANGE(""https://docs.google.com/spreadsheets/d/1FvTu2DsIWUjP6WCWra38Bkj_oOl_sOMf14r5Fg5srxU/edit?usp=sharing"",""ชัยภูมิ!J369"")+IMPORTRANGE(""https://docs.google.com/spreadsheets/d/1XVB7oCJ3pr-vBUdflwPQ8Z2LlzhnCvZaaYjAfP-647E/edit"&amp;"?usp=sharing"",""นครพนม!J369"")+IMPORTRANGE(""https://docs.google.com/spreadsheets/d/1Mnpb-8PYAgn85W6KOTD40hc_Xc55CaLfHoGAbrZ8tls/edit?usp=sharing"",""นครราชสีมา!J369"")+IMPORTRANGE(""https://docs.google.com/spreadsheets/d/1xoDLGBv9CYbyosIhki0kTq6IpYNj-gp"&amp;"jxfobnaDiut0/edit?usp=sharing"",""บึงกาฬ!J369"")+IMPORTRANGE(""https://docs.google.com/spreadsheets/d/1MMPq-JyI6DSgQETxuSiXkesP-P7JHuemnE6QJIa-Nlw/edit?usp=sharing"",""บุรีรัมย์!J369"")+IMPORTRANGE(""https://docs.google.com/spreadsheets/d/1l6IZ8xUPgMrESzc"&amp;"TYwhA1k_tPjeQjJPTqlm8Gd9eU5g/edit?usp=sharing"",""มหาสารคาม!J369"")+IMPORTRANGE(""https://docs.google.com/spreadsheets/d/1uB74YLqNjWX6FObjekfB2NtSYigTQyR2rq9u4Ub2Sq4/edit?usp=sharing"",""มุกดาหาร!J369"")+IMPORTRANGE(""https://docs.google.com/spreadsheets/"&amp;"d/1NexK3geCPxCTO1fzNF8dPec7yZyUx3OaWkFBC9HsQOo/edit?usp=sharing"",""ยโสธร!J369"")+IMPORTRANGE(""https://docs.google.com/spreadsheets/d/1v_cJrbBlyqmnHPReHk44g9NrMRdENNlSy_E_c5M9fIg/edit?usp=sharing"",""ร้อยเอ็ด!J369"")+IMPORTRANGE(""https://docs.google.com"&amp;"/spreadsheets/d/1Ul4RCpCX66NxYADU1QpwAPjOmBzW64SsT11s1wzXw_c/edit?usp=sharing"",""เลย!J369"")+IMPORTRANGE(""https://docs.google.com/spreadsheets/d/1bRrNKwbHDVktQG10isr5vbWRtt5spIZPpkOSWgbT5ug/edit?usp=sharing"",""ศรีสะเกษ!J369"")+IMPORTRANGE(""https://doc"&amp;"s.google.com/spreadsheets/d/17P34_Ow5kFBfdQD0qspb2UuPX5zpi6WMrQzslghyvrI/edit?usp=sharing"",""สกลนคร!J369"")+IMPORTRANGE(""https://docs.google.com/spreadsheets/d/1yswqbM3-AEpThF3ZSUa1AcmHnmRTF1vlJ1CZGcJ8YuU/edit?usp=sharing"",""สุรินทร์!J369"")+IMPORTRANG"&amp;"E(""https://docs.google.com/spreadsheets/d/13JHU_EFbsQOUQ0JSQ3dWy1VTRosIWcDq6Nc99z2qzdc/edit?usp=sharing"",""หนองคาย!J369"")+IMPORTRANGE(""https://docs.google.com/spreadsheets/d/1Hx73zIEgVdDZZaYSTc46Dqv64atFhpr3GelxLbaIN8A/edit?usp=sharing"",""หนองบัวลำภู"&amp;"!J369"")+IMPORTRANGE(""https://docs.google.com/spreadsheets/d/1lFxr3ctmjFN90yc-xV6jrQ9Ty8BKYVBWnAZ15wcNIJc/edit?usp=sharing"",""อำนาจเจริญ!J369"")+IMPORTRANGE(""https://docs.google.com/spreadsheets/d/1gF7RJpRnL-1oyjyeWxs5SFWEH7y8ahOZsQlyp2A2e-A/edit?usp=s"&amp;"haring"",""อุดรธานี!J369"")+IMPORTRANGE(""https://docs.google.com/spreadsheets/d/1kfLP0j3INXRa8bTDpcEmoWewMBV61jlFlfzczfjWIgc/edit?usp=sharing"",""อุบลราชธานี!J369"")"),3541)</f>
        <v>3541</v>
      </c>
      <c r="K369" s="59">
        <f t="shared" ca="1" si="159"/>
        <v>28.602584814216478</v>
      </c>
      <c r="L369" s="165"/>
      <c r="M369" s="165"/>
      <c r="N369" s="165"/>
      <c r="O369" s="165"/>
      <c r="P369" s="165"/>
    </row>
    <row r="370" spans="1:16" ht="18.75" x14ac:dyDescent="0.25">
      <c r="A370" s="167"/>
      <c r="B370" s="174"/>
      <c r="C370" s="168"/>
      <c r="D370" s="174"/>
      <c r="E370" s="174"/>
      <c r="F370" s="174"/>
      <c r="G370" s="172"/>
      <c r="H370" s="179" t="s">
        <v>44</v>
      </c>
      <c r="I370" s="194">
        <v>0</v>
      </c>
      <c r="J370" s="181">
        <f ca="1">IFERROR(__xludf.DUMMYFUNCTION("IMPORTRANGE(""https://docs.google.com/spreadsheets/d/1yhBcrRPreicbMKl9Bu_Snb2-OcQAF62RKfhTLhJ2eAA/edit?usp=sharing"",""กาฬสินธุ์!J370"")+IMPORTRANGE(""https://docs.google.com/spreadsheets/d/1aHkj4IaQMThhwWwevcOymEh837vdxeC_PycurhTbGFA/edit?usp=sharing"","&amp;"""ขอนแก่น!J370"")+IMPORTRANGE(""https://docs.google.com/spreadsheets/d/1FvTu2DsIWUjP6WCWra38Bkj_oOl_sOMf14r5Fg5srxU/edit?usp=sharing"",""ชัยภูมิ!J370"")+IMPORTRANGE(""https://docs.google.com/spreadsheets/d/1XVB7oCJ3pr-vBUdflwPQ8Z2LlzhnCvZaaYjAfP-647E/edit"&amp;"?usp=sharing"",""นครพนม!J370"")+IMPORTRANGE(""https://docs.google.com/spreadsheets/d/1Mnpb-8PYAgn85W6KOTD40hc_Xc55CaLfHoGAbrZ8tls/edit?usp=sharing"",""นครราชสีมา!J370"")+IMPORTRANGE(""https://docs.google.com/spreadsheets/d/1xoDLGBv9CYbyosIhki0kTq6IpYNj-gp"&amp;"jxfobnaDiut0/edit?usp=sharing"",""บึงกาฬ!J370"")+IMPORTRANGE(""https://docs.google.com/spreadsheets/d/1MMPq-JyI6DSgQETxuSiXkesP-P7JHuemnE6QJIa-Nlw/edit?usp=sharing"",""บุรีรัมย์!J370"")+IMPORTRANGE(""https://docs.google.com/spreadsheets/d/1l6IZ8xUPgMrESzc"&amp;"TYwhA1k_tPjeQjJPTqlm8Gd9eU5g/edit?usp=sharing"",""มหาสารคาม!J370"")+IMPORTRANGE(""https://docs.google.com/spreadsheets/d/1uB74YLqNjWX6FObjekfB2NtSYigTQyR2rq9u4Ub2Sq4/edit?usp=sharing"",""มุกดาหาร!J370"")+IMPORTRANGE(""https://docs.google.com/spreadsheets/"&amp;"d/1NexK3geCPxCTO1fzNF8dPec7yZyUx3OaWkFBC9HsQOo/edit?usp=sharing"",""ยโสธร!J370"")+IMPORTRANGE(""https://docs.google.com/spreadsheets/d/1v_cJrbBlyqmnHPReHk44g9NrMRdENNlSy_E_c5M9fIg/edit?usp=sharing"",""ร้อยเอ็ด!J370"")+IMPORTRANGE(""https://docs.google.com"&amp;"/spreadsheets/d/1Ul4RCpCX66NxYADU1QpwAPjOmBzW64SsT11s1wzXw_c/edit?usp=sharing"",""เลย!J370"")+IMPORTRANGE(""https://docs.google.com/spreadsheets/d/1bRrNKwbHDVktQG10isr5vbWRtt5spIZPpkOSWgbT5ug/edit?usp=sharing"",""ศรีสะเกษ!J370"")+IMPORTRANGE(""https://doc"&amp;"s.google.com/spreadsheets/d/17P34_Ow5kFBfdQD0qspb2UuPX5zpi6WMrQzslghyvrI/edit?usp=sharing"",""สกลนคร!J370"")+IMPORTRANGE(""https://docs.google.com/spreadsheets/d/1yswqbM3-AEpThF3ZSUa1AcmHnmRTF1vlJ1CZGcJ8YuU/edit?usp=sharing"",""สุรินทร์!J370"")+IMPORTRANG"&amp;"E(""https://docs.google.com/spreadsheets/d/13JHU_EFbsQOUQ0JSQ3dWy1VTRosIWcDq6Nc99z2qzdc/edit?usp=sharing"",""หนองคาย!J370"")+IMPORTRANGE(""https://docs.google.com/spreadsheets/d/1Hx73zIEgVdDZZaYSTc46Dqv64atFhpr3GelxLbaIN8A/edit?usp=sharing"",""หนองบัวลำภู"&amp;"!J370"")+IMPORTRANGE(""https://docs.google.com/spreadsheets/d/1lFxr3ctmjFN90yc-xV6jrQ9Ty8BKYVBWnAZ15wcNIJc/edit?usp=sharing"",""อำนาจเจริญ!J370"")+IMPORTRANGE(""https://docs.google.com/spreadsheets/d/1gF7RJpRnL-1oyjyeWxs5SFWEH7y8ahOZsQlyp2A2e-A/edit?usp=s"&amp;"haring"",""อุดรธานี!J370"")+IMPORTRANGE(""https://docs.google.com/spreadsheets/d/1kfLP0j3INXRa8bTDpcEmoWewMBV61jlFlfzczfjWIgc/edit?usp=sharing"",""อุบลราชธานี!J370"")"),43142.14)</f>
        <v>43142.14</v>
      </c>
      <c r="K370" s="59">
        <f t="shared" si="159"/>
        <v>0</v>
      </c>
      <c r="L370" s="165"/>
      <c r="M370" s="165"/>
      <c r="N370" s="165"/>
      <c r="O370" s="165"/>
      <c r="P370" s="165"/>
    </row>
    <row r="371" spans="1:16" ht="18.75" x14ac:dyDescent="0.25">
      <c r="A371" s="167"/>
      <c r="B371" s="174"/>
      <c r="C371" s="168"/>
      <c r="D371" s="174"/>
      <c r="E371" s="447" t="s">
        <v>145</v>
      </c>
      <c r="F371" s="174"/>
      <c r="G371" s="172"/>
      <c r="H371" s="179" t="s">
        <v>33</v>
      </c>
      <c r="I371" s="181">
        <f ca="1">IFERROR(__xludf.DUMMYFUNCTION("IMPORTRANGE(""https://docs.google.com/spreadsheets/d/1yhBcrRPreicbMKl9Bu_Snb2-OcQAF62RKfhTLhJ2eAA/edit?usp=sharing"",""กาฬสินธุ์!I371"")+IMPORTRANGE(""https://docs.google.com/spreadsheets/d/1aHkj4IaQMThhwWwevcOymEh837vdxeC_PycurhTbGFA/edit?usp=sharing"","&amp;"""ขอนแก่น!I371"")+IMPORTRANGE(""https://docs.google.com/spreadsheets/d/1FvTu2DsIWUjP6WCWra38Bkj_oOl_sOMf14r5Fg5srxU/edit?usp=sharing"",""ชัยภูมิ!I371"")+IMPORTRANGE(""https://docs.google.com/spreadsheets/d/1XVB7oCJ3pr-vBUdflwPQ8Z2LlzhnCvZaaYjAfP-647E/edit"&amp;"?usp=sharing"",""นครพนม!I371"")+IMPORTRANGE(""https://docs.google.com/spreadsheets/d/1Mnpb-8PYAgn85W6KOTD40hc_Xc55CaLfHoGAbrZ8tls/edit?usp=sharing"",""นครราชสีมา!I371"")+IMPORTRANGE(""https://docs.google.com/spreadsheets/d/1xoDLGBv9CYbyosIhki0kTq6IpYNj-gp"&amp;"jxfobnaDiut0/edit?usp=sharing"",""บึงกาฬ!I371"")+IMPORTRANGE(""https://docs.google.com/spreadsheets/d/1MMPq-JyI6DSgQETxuSiXkesP-P7JHuemnE6QJIa-Nlw/edit?usp=sharing"",""บุรีรัมย์!I371"")+IMPORTRANGE(""https://docs.google.com/spreadsheets/d/1l6IZ8xUPgMrESzc"&amp;"TYwhA1k_tPjeQjJPTqlm8Gd9eU5g/edit?usp=sharing"",""มหาสารคาม!I371"")+IMPORTRANGE(""https://docs.google.com/spreadsheets/d/1uB74YLqNjWX6FObjekfB2NtSYigTQyR2rq9u4Ub2Sq4/edit?usp=sharing"",""มุกดาหาร!I371"")+IMPORTRANGE(""https://docs.google.com/spreadsheets/"&amp;"d/1NexK3geCPxCTO1fzNF8dPec7yZyUx3OaWkFBC9HsQOo/edit?usp=sharing"",""ยโสธร!I371"")+IMPORTRANGE(""https://docs.google.com/spreadsheets/d/1v_cJrbBlyqmnHPReHk44g9NrMRdENNlSy_E_c5M9fIg/edit?usp=sharing"",""ร้อยเอ็ด!I371"")+IMPORTRANGE(""https://docs.google.com"&amp;"/spreadsheets/d/1Ul4RCpCX66NxYADU1QpwAPjOmBzW64SsT11s1wzXw_c/edit?usp=sharing"",""เลย!I371"")+IMPORTRANGE(""https://docs.google.com/spreadsheets/d/1bRrNKwbHDVktQG10isr5vbWRtt5spIZPpkOSWgbT5ug/edit?usp=sharing"",""ศรีสะเกษ!I371"")+IMPORTRANGE(""https://doc"&amp;"s.google.com/spreadsheets/d/17P34_Ow5kFBfdQD0qspb2UuPX5zpi6WMrQzslghyvrI/edit?usp=sharing"",""สกลนคร!I371"")+IMPORTRANGE(""https://docs.google.com/spreadsheets/d/1yswqbM3-AEpThF3ZSUa1AcmHnmRTF1vlJ1CZGcJ8YuU/edit?usp=sharing"",""สุรินทร์!I371"")+IMPORTRANG"&amp;"E(""https://docs.google.com/spreadsheets/d/13JHU_EFbsQOUQ0JSQ3dWy1VTRosIWcDq6Nc99z2qzdc/edit?usp=sharing"",""หนองคาย!I371"")+IMPORTRANGE(""https://docs.google.com/spreadsheets/d/1Hx73zIEgVdDZZaYSTc46Dqv64atFhpr3GelxLbaIN8A/edit?usp=sharing"",""หนองบัวลำภู"&amp;"!I371"")+IMPORTRANGE(""https://docs.google.com/spreadsheets/d/1lFxr3ctmjFN90yc-xV6jrQ9Ty8BKYVBWnAZ15wcNIJc/edit?usp=sharing"",""อำนาจเจริญ!I371"")+IMPORTRANGE(""https://docs.google.com/spreadsheets/d/1gF7RJpRnL-1oyjyeWxs5SFWEH7y8ahOZsQlyp2A2e-A/edit?usp=s"&amp;"haring"",""อุดรธานี!I371"")+IMPORTRANGE(""https://docs.google.com/spreadsheets/d/1kfLP0j3INXRa8bTDpcEmoWewMBV61jlFlfzczfjWIgc/edit?usp=sharing"",""อุบลราชธานี!I371"")"),8150)</f>
        <v>8150</v>
      </c>
      <c r="J371" s="181">
        <f ca="1">IFERROR(__xludf.DUMMYFUNCTION("IMPORTRANGE(""https://docs.google.com/spreadsheets/d/1yhBcrRPreicbMKl9Bu_Snb2-OcQAF62RKfhTLhJ2eAA/edit?usp=sharing"",""กาฬสินธุ์!J371"")+IMPORTRANGE(""https://docs.google.com/spreadsheets/d/1aHkj4IaQMThhwWwevcOymEh837vdxeC_PycurhTbGFA/edit?usp=sharing"","&amp;"""ขอนแก่น!J371"")+IMPORTRANGE(""https://docs.google.com/spreadsheets/d/1FvTu2DsIWUjP6WCWra38Bkj_oOl_sOMf14r5Fg5srxU/edit?usp=sharing"",""ชัยภูมิ!J371"")+IMPORTRANGE(""https://docs.google.com/spreadsheets/d/1XVB7oCJ3pr-vBUdflwPQ8Z2LlzhnCvZaaYjAfP-647E/edit"&amp;"?usp=sharing"",""นครพนม!J371"")+IMPORTRANGE(""https://docs.google.com/spreadsheets/d/1Mnpb-8PYAgn85W6KOTD40hc_Xc55CaLfHoGAbrZ8tls/edit?usp=sharing"",""นครราชสีมา!J371"")+IMPORTRANGE(""https://docs.google.com/spreadsheets/d/1xoDLGBv9CYbyosIhki0kTq6IpYNj-gp"&amp;"jxfobnaDiut0/edit?usp=sharing"",""บึงกาฬ!J371"")+IMPORTRANGE(""https://docs.google.com/spreadsheets/d/1MMPq-JyI6DSgQETxuSiXkesP-P7JHuemnE6QJIa-Nlw/edit?usp=sharing"",""บุรีรัมย์!J371"")+IMPORTRANGE(""https://docs.google.com/spreadsheets/d/1l6IZ8xUPgMrESzc"&amp;"TYwhA1k_tPjeQjJPTqlm8Gd9eU5g/edit?usp=sharing"",""มหาสารคาม!J371"")+IMPORTRANGE(""https://docs.google.com/spreadsheets/d/1uB74YLqNjWX6FObjekfB2NtSYigTQyR2rq9u4Ub2Sq4/edit?usp=sharing"",""มุกดาหาร!J371"")+IMPORTRANGE(""https://docs.google.com/spreadsheets/"&amp;"d/1NexK3geCPxCTO1fzNF8dPec7yZyUx3OaWkFBC9HsQOo/edit?usp=sharing"",""ยโสธร!J371"")+IMPORTRANGE(""https://docs.google.com/spreadsheets/d/1v_cJrbBlyqmnHPReHk44g9NrMRdENNlSy_E_c5M9fIg/edit?usp=sharing"",""ร้อยเอ็ด!J371"")+IMPORTRANGE(""https://docs.google.com"&amp;"/spreadsheets/d/1Ul4RCpCX66NxYADU1QpwAPjOmBzW64SsT11s1wzXw_c/edit?usp=sharing"",""เลย!J371"")+IMPORTRANGE(""https://docs.google.com/spreadsheets/d/1bRrNKwbHDVktQG10isr5vbWRtt5spIZPpkOSWgbT5ug/edit?usp=sharing"",""ศรีสะเกษ!J371"")+IMPORTRANGE(""https://doc"&amp;"s.google.com/spreadsheets/d/17P34_Ow5kFBfdQD0qspb2UuPX5zpi6WMrQzslghyvrI/edit?usp=sharing"",""สกลนคร!J371"")+IMPORTRANGE(""https://docs.google.com/spreadsheets/d/1yswqbM3-AEpThF3ZSUa1AcmHnmRTF1vlJ1CZGcJ8YuU/edit?usp=sharing"",""สุรินทร์!J371"")+IMPORTRANG"&amp;"E(""https://docs.google.com/spreadsheets/d/13JHU_EFbsQOUQ0JSQ3dWy1VTRosIWcDq6Nc99z2qzdc/edit?usp=sharing"",""หนองคาย!J371"")+IMPORTRANGE(""https://docs.google.com/spreadsheets/d/1Hx73zIEgVdDZZaYSTc46Dqv64atFhpr3GelxLbaIN8A/edit?usp=sharing"",""หนองบัวลำภู"&amp;"!J371"")+IMPORTRANGE(""https://docs.google.com/spreadsheets/d/1lFxr3ctmjFN90yc-xV6jrQ9Ty8BKYVBWnAZ15wcNIJc/edit?usp=sharing"",""อำนาจเจริญ!J371"")+IMPORTRANGE(""https://docs.google.com/spreadsheets/d/1gF7RJpRnL-1oyjyeWxs5SFWEH7y8ahOZsQlyp2A2e-A/edit?usp=s"&amp;"haring"",""อุดรธานี!J371"")+IMPORTRANGE(""https://docs.google.com/spreadsheets/d/1kfLP0j3INXRa8bTDpcEmoWewMBV61jlFlfzczfjWIgc/edit?usp=sharing"",""อุบลราชธานี!J371"")"),1712)</f>
        <v>1712</v>
      </c>
      <c r="K371" s="59">
        <f t="shared" ca="1" si="159"/>
        <v>21.006134969325153</v>
      </c>
      <c r="L371" s="165"/>
      <c r="M371" s="165"/>
      <c r="N371" s="165"/>
      <c r="O371" s="165"/>
      <c r="P371" s="165"/>
    </row>
    <row r="372" spans="1:16" ht="18.75" x14ac:dyDescent="0.25">
      <c r="A372" s="448"/>
      <c r="B372" s="341"/>
      <c r="C372" s="339"/>
      <c r="D372" s="341"/>
      <c r="E372" s="341"/>
      <c r="F372" s="341"/>
      <c r="G372" s="342"/>
      <c r="H372" s="449" t="s">
        <v>44</v>
      </c>
      <c r="I372" s="343">
        <v>0</v>
      </c>
      <c r="J372" s="254">
        <f ca="1">IFERROR(__xludf.DUMMYFUNCTION("IMPORTRANGE(""https://docs.google.com/spreadsheets/d/1yhBcrRPreicbMKl9Bu_Snb2-OcQAF62RKfhTLhJ2eAA/edit?usp=sharing"",""กาฬสินธุ์!J372"")+IMPORTRANGE(""https://docs.google.com/spreadsheets/d/1aHkj4IaQMThhwWwevcOymEh837vdxeC_PycurhTbGFA/edit?usp=sharing"","&amp;"""ขอนแก่น!J372"")+IMPORTRANGE(""https://docs.google.com/spreadsheets/d/1FvTu2DsIWUjP6WCWra38Bkj_oOl_sOMf14r5Fg5srxU/edit?usp=sharing"",""ชัยภูมิ!J372"")+IMPORTRANGE(""https://docs.google.com/spreadsheets/d/1XVB7oCJ3pr-vBUdflwPQ8Z2LlzhnCvZaaYjAfP-647E/edit"&amp;"?usp=sharing"",""นครพนม!J372"")+IMPORTRANGE(""https://docs.google.com/spreadsheets/d/1Mnpb-8PYAgn85W6KOTD40hc_Xc55CaLfHoGAbrZ8tls/edit?usp=sharing"",""นครราชสีมา!J372"")+IMPORTRANGE(""https://docs.google.com/spreadsheets/d/1xoDLGBv9CYbyosIhki0kTq6IpYNj-gp"&amp;"jxfobnaDiut0/edit?usp=sharing"",""บึงกาฬ!J372"")+IMPORTRANGE(""https://docs.google.com/spreadsheets/d/1MMPq-JyI6DSgQETxuSiXkesP-P7JHuemnE6QJIa-Nlw/edit?usp=sharing"",""บุรีรัมย์!J372"")+IMPORTRANGE(""https://docs.google.com/spreadsheets/d/1l6IZ8xUPgMrESzc"&amp;"TYwhA1k_tPjeQjJPTqlm8Gd9eU5g/edit?usp=sharing"",""มหาสารคาม!J372"")+IMPORTRANGE(""https://docs.google.com/spreadsheets/d/1uB74YLqNjWX6FObjekfB2NtSYigTQyR2rq9u4Ub2Sq4/edit?usp=sharing"",""มุกดาหาร!J372"")+IMPORTRANGE(""https://docs.google.com/spreadsheets/"&amp;"d/1NexK3geCPxCTO1fzNF8dPec7yZyUx3OaWkFBC9HsQOo/edit?usp=sharing"",""ยโสธร!J372"")+IMPORTRANGE(""https://docs.google.com/spreadsheets/d/1v_cJrbBlyqmnHPReHk44g9NrMRdENNlSy_E_c5M9fIg/edit?usp=sharing"",""ร้อยเอ็ด!J372"")+IMPORTRANGE(""https://docs.google.com"&amp;"/spreadsheets/d/1Ul4RCpCX66NxYADU1QpwAPjOmBzW64SsT11s1wzXw_c/edit?usp=sharing"",""เลย!J372"")+IMPORTRANGE(""https://docs.google.com/spreadsheets/d/1bRrNKwbHDVktQG10isr5vbWRtt5spIZPpkOSWgbT5ug/edit?usp=sharing"",""ศรีสะเกษ!J372"")+IMPORTRANGE(""https://doc"&amp;"s.google.com/spreadsheets/d/17P34_Ow5kFBfdQD0qspb2UuPX5zpi6WMrQzslghyvrI/edit?usp=sharing"",""สกลนคร!J372"")+IMPORTRANGE(""https://docs.google.com/spreadsheets/d/1yswqbM3-AEpThF3ZSUa1AcmHnmRTF1vlJ1CZGcJ8YuU/edit?usp=sharing"",""สุรินทร์!J372"")+IMPORTRANG"&amp;"E(""https://docs.google.com/spreadsheets/d/13JHU_EFbsQOUQ0JSQ3dWy1VTRosIWcDq6Nc99z2qzdc/edit?usp=sharing"",""หนองคาย!J372"")+IMPORTRANGE(""https://docs.google.com/spreadsheets/d/1Hx73zIEgVdDZZaYSTc46Dqv64atFhpr3GelxLbaIN8A/edit?usp=sharing"",""หนองบัวลำภู"&amp;"!J372"")+IMPORTRANGE(""https://docs.google.com/spreadsheets/d/1lFxr3ctmjFN90yc-xV6jrQ9Ty8BKYVBWnAZ15wcNIJc/edit?usp=sharing"",""อำนาจเจริญ!J372"")+IMPORTRANGE(""https://docs.google.com/spreadsheets/d/1gF7RJpRnL-1oyjyeWxs5SFWEH7y8ahOZsQlyp2A2e-A/edit?usp=s"&amp;"haring"",""อุดรธานี!J372"")+IMPORTRANGE(""https://docs.google.com/spreadsheets/d/1kfLP0j3INXRa8bTDpcEmoWewMBV61jlFlfzczfjWIgc/edit?usp=sharing"",""อุบลราชธานี!J372"")"),21693.18)</f>
        <v>21693.18</v>
      </c>
      <c r="K372" s="139">
        <f t="shared" si="159"/>
        <v>0</v>
      </c>
      <c r="L372" s="345"/>
      <c r="M372" s="345"/>
      <c r="N372" s="345"/>
      <c r="O372" s="345"/>
      <c r="P372" s="345"/>
    </row>
    <row r="373" spans="1:16" ht="19.5" x14ac:dyDescent="0.3">
      <c r="A373" s="450"/>
      <c r="B373" s="451"/>
      <c r="C373" s="452"/>
      <c r="D373" s="4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454"/>
      <c r="F373" s="454"/>
      <c r="G373" s="454"/>
      <c r="H373" s="455"/>
      <c r="I373" s="456"/>
      <c r="J373" s="456"/>
      <c r="K373" s="457"/>
      <c r="L373" s="457"/>
      <c r="M373" s="457"/>
      <c r="N373" s="457"/>
      <c r="O373" s="457"/>
      <c r="P373" s="457"/>
    </row>
    <row r="374" spans="1:16" ht="19.5" x14ac:dyDescent="0.3">
      <c r="A374" s="458" t="s">
        <v>146</v>
      </c>
      <c r="B374" s="459"/>
      <c r="C374" s="459"/>
      <c r="D374" s="459"/>
      <c r="E374" s="460"/>
      <c r="F374" s="460"/>
      <c r="G374" s="460"/>
      <c r="H374" s="460"/>
      <c r="I374" s="461"/>
      <c r="J374" s="461"/>
      <c r="K374" s="462"/>
      <c r="L374" s="462"/>
      <c r="M374" s="462"/>
      <c r="N374" s="462"/>
      <c r="O374" s="462"/>
      <c r="P374" s="463"/>
    </row>
    <row r="375" spans="1:16" ht="19.5" x14ac:dyDescent="0.3">
      <c r="A375" s="464" t="s">
        <v>147</v>
      </c>
      <c r="B375" s="465"/>
      <c r="C375" s="465"/>
      <c r="D375" s="466"/>
      <c r="E375" s="465"/>
      <c r="F375" s="465"/>
      <c r="G375" s="465"/>
      <c r="H375" s="467"/>
      <c r="I375" s="468"/>
      <c r="J375" s="468"/>
      <c r="K375" s="469"/>
      <c r="L375" s="469"/>
      <c r="M375" s="469"/>
      <c r="N375" s="469"/>
      <c r="O375" s="469"/>
      <c r="P375" s="469"/>
    </row>
    <row r="376" spans="1:16" ht="19.5" x14ac:dyDescent="0.3">
      <c r="A376" s="470"/>
      <c r="B376" s="471" t="s">
        <v>148</v>
      </c>
      <c r="C376" s="472"/>
      <c r="D376" s="473"/>
      <c r="E376" s="473"/>
      <c r="F376" s="473"/>
      <c r="G376" s="474"/>
      <c r="H376" s="475" t="s">
        <v>54</v>
      </c>
      <c r="I376" s="476">
        <f t="shared" ref="I376:J376" si="160">I388</f>
        <v>0</v>
      </c>
      <c r="J376" s="476">
        <f t="shared" si="160"/>
        <v>0</v>
      </c>
      <c r="K376" s="477">
        <f>IF(I376&gt;0,J376*100/I376,0)</f>
        <v>0</v>
      </c>
      <c r="L376" s="478"/>
      <c r="M376" s="478"/>
      <c r="N376" s="478"/>
      <c r="O376" s="478"/>
      <c r="P376" s="478"/>
    </row>
    <row r="377" spans="1:16" ht="19.5" x14ac:dyDescent="0.3">
      <c r="A377" s="157"/>
      <c r="B377" s="53"/>
      <c r="C377" s="158" t="s">
        <v>16</v>
      </c>
      <c r="D377" s="159" t="s">
        <v>17</v>
      </c>
      <c r="E377" s="53"/>
      <c r="F377" s="53"/>
      <c r="G377" s="55"/>
      <c r="H377" s="160" t="s">
        <v>12</v>
      </c>
      <c r="I377" s="57"/>
      <c r="J377" s="57"/>
      <c r="K377" s="58"/>
      <c r="L377" s="161">
        <f t="shared" ref="L377:N377" ca="1" si="161">L378+L379</f>
        <v>0</v>
      </c>
      <c r="M377" s="161">
        <f t="shared" ca="1" si="161"/>
        <v>0</v>
      </c>
      <c r="N377" s="161">
        <f t="shared" ca="1" si="161"/>
        <v>0</v>
      </c>
      <c r="O377" s="161">
        <f t="shared" ref="O377:O385" ca="1" si="162">IF(L377&gt;0,N377*100/L377,0)</f>
        <v>0</v>
      </c>
      <c r="P377" s="161">
        <f t="shared" ref="P377:P385" ca="1" si="163">IF(M377&gt;0,N377*100/M377,0)</f>
        <v>0</v>
      </c>
    </row>
    <row r="378" spans="1:16" ht="18.75" x14ac:dyDescent="0.25">
      <c r="A378" s="157"/>
      <c r="B378" s="53"/>
      <c r="C378" s="53"/>
      <c r="D378" s="53"/>
      <c r="E378" s="60" t="s">
        <v>18</v>
      </c>
      <c r="F378" s="53"/>
      <c r="G378" s="55"/>
      <c r="H378" s="162" t="s">
        <v>12</v>
      </c>
      <c r="I378" s="57"/>
      <c r="J378" s="57"/>
      <c r="K378" s="58"/>
      <c r="L378" s="59">
        <f t="shared" ref="L378:N378" ca="1" si="164">L381+L384</f>
        <v>0</v>
      </c>
      <c r="M378" s="59">
        <f t="shared" ca="1" si="164"/>
        <v>0</v>
      </c>
      <c r="N378" s="59">
        <f t="shared" ca="1" si="164"/>
        <v>0</v>
      </c>
      <c r="O378" s="59">
        <f t="shared" ca="1" si="162"/>
        <v>0</v>
      </c>
      <c r="P378" s="59">
        <f t="shared" ca="1" si="163"/>
        <v>0</v>
      </c>
    </row>
    <row r="379" spans="1:16" ht="18.75" x14ac:dyDescent="0.25">
      <c r="A379" s="157"/>
      <c r="B379" s="53"/>
      <c r="C379" s="53"/>
      <c r="D379" s="53"/>
      <c r="E379" s="60" t="s">
        <v>19</v>
      </c>
      <c r="F379" s="53"/>
      <c r="G379" s="55"/>
      <c r="H379" s="162" t="s">
        <v>12</v>
      </c>
      <c r="I379" s="57"/>
      <c r="J379" s="57"/>
      <c r="K379" s="58"/>
      <c r="L379" s="59">
        <f t="shared" ref="L379:N379" ca="1" si="165">L382+L385</f>
        <v>0</v>
      </c>
      <c r="M379" s="59">
        <f t="shared" ca="1" si="165"/>
        <v>0</v>
      </c>
      <c r="N379" s="59">
        <f t="shared" ca="1" si="165"/>
        <v>0</v>
      </c>
      <c r="O379" s="59">
        <f t="shared" ca="1" si="162"/>
        <v>0</v>
      </c>
      <c r="P379" s="59">
        <f t="shared" ca="1" si="163"/>
        <v>0</v>
      </c>
    </row>
    <row r="380" spans="1:16" ht="18.75" x14ac:dyDescent="0.25">
      <c r="A380" s="157"/>
      <c r="B380" s="53"/>
      <c r="C380" s="53"/>
      <c r="D380" s="54" t="s">
        <v>20</v>
      </c>
      <c r="E380" s="53"/>
      <c r="F380" s="53"/>
      <c r="G380" s="55"/>
      <c r="H380" s="163" t="s">
        <v>12</v>
      </c>
      <c r="I380" s="164"/>
      <c r="J380" s="164"/>
      <c r="K380" s="165"/>
      <c r="L380" s="59">
        <f t="shared" ref="L380:N380" ca="1" si="166">L381+L382</f>
        <v>0</v>
      </c>
      <c r="M380" s="59">
        <f t="shared" ca="1" si="166"/>
        <v>0</v>
      </c>
      <c r="N380" s="59">
        <f t="shared" ca="1" si="166"/>
        <v>0</v>
      </c>
      <c r="O380" s="59">
        <f t="shared" ca="1" si="162"/>
        <v>0</v>
      </c>
      <c r="P380" s="59">
        <f t="shared" ca="1" si="163"/>
        <v>0</v>
      </c>
    </row>
    <row r="381" spans="1:16" ht="18.75" x14ac:dyDescent="0.25">
      <c r="A381" s="157"/>
      <c r="B381" s="53"/>
      <c r="C381" s="53"/>
      <c r="D381" s="53"/>
      <c r="E381" s="60" t="s">
        <v>34</v>
      </c>
      <c r="F381" s="53"/>
      <c r="G381" s="55"/>
      <c r="H381" s="163" t="s">
        <v>12</v>
      </c>
      <c r="I381" s="164"/>
      <c r="J381" s="164"/>
      <c r="K381" s="165"/>
      <c r="L381" s="59">
        <f ca="1">IFERROR(__xludf.DUMMYFUNCTION("IMPORTRANGE(""https://docs.google.com/spreadsheets/d/1yhBcrRPreicbMKl9Bu_Snb2-OcQAF62RKfhTLhJ2eAA/edit?usp=sharing"",""กาฬสินธุ์!L381"")+IMPORTRANGE(""https://docs.google.com/spreadsheets/d/1aHkj4IaQMThhwWwevcOymEh837vdxeC_PycurhTbGFA/edit?usp=sharing"","&amp;"""ขอนแก่น!L381"")+IMPORTRANGE(""https://docs.google.com/spreadsheets/d/1FvTu2DsIWUjP6WCWra38Bkj_oOl_sOMf14r5Fg5srxU/edit?usp=sharing"",""ชัยภูมิ!L381"")+IMPORTRANGE(""https://docs.google.com/spreadsheets/d/1XVB7oCJ3pr-vBUdflwPQ8Z2LlzhnCvZaaYjAfP-647E/edit"&amp;"?usp=sharing"",""นครพนม!L381"")+IMPORTRANGE(""https://docs.google.com/spreadsheets/d/1Mnpb-8PYAgn85W6KOTD40hc_Xc55CaLfHoGAbrZ8tls/edit?usp=sharing"",""นครราชสีมา!L381"")+IMPORTRANGE(""https://docs.google.com/spreadsheets/d/1xoDLGBv9CYbyosIhki0kTq6IpYNj-gp"&amp;"jxfobnaDiut0/edit?usp=sharing"",""บึงกาฬ!L381"")+IMPORTRANGE(""https://docs.google.com/spreadsheets/d/1MMPq-JyI6DSgQETxuSiXkesP-P7JHuemnE6QJIa-Nlw/edit?usp=sharing"",""บุรีรัมย์!L381"")+IMPORTRANGE(""https://docs.google.com/spreadsheets/d/1l6IZ8xUPgMrESzc"&amp;"TYwhA1k_tPjeQjJPTqlm8Gd9eU5g/edit?usp=sharing"",""มหาสารคาม!L381"")+IMPORTRANGE(""https://docs.google.com/spreadsheets/d/1uB74YLqNjWX6FObjekfB2NtSYigTQyR2rq9u4Ub2Sq4/edit?usp=sharing"",""มุกดาหาร!L381"")+IMPORTRANGE(""https://docs.google.com/spreadsheets/"&amp;"d/1NexK3geCPxCTO1fzNF8dPec7yZyUx3OaWkFBC9HsQOo/edit?usp=sharing"",""ยโสธร!L381"")+IMPORTRANGE(""https://docs.google.com/spreadsheets/d/1v_cJrbBlyqmnHPReHk44g9NrMRdENNlSy_E_c5M9fIg/edit?usp=sharing"",""ร้อยเอ็ด!L381"")+IMPORTRANGE(""https://docs.google.com"&amp;"/spreadsheets/d/1Ul4RCpCX66NxYADU1QpwAPjOmBzW64SsT11s1wzXw_c/edit?usp=sharing"",""เลย!L381"")+IMPORTRANGE(""https://docs.google.com/spreadsheets/d/1bRrNKwbHDVktQG10isr5vbWRtt5spIZPpkOSWgbT5ug/edit?usp=sharing"",""ศรีสะเกษ!L381"")+IMPORTRANGE(""https://doc"&amp;"s.google.com/spreadsheets/d/17P34_Ow5kFBfdQD0qspb2UuPX5zpi6WMrQzslghyvrI/edit?usp=sharing"",""สกลนคร!L381"")+IMPORTRANGE(""https://docs.google.com/spreadsheets/d/1yswqbM3-AEpThF3ZSUa1AcmHnmRTF1vlJ1CZGcJ8YuU/edit?usp=sharing"",""สุรินทร์!L381"")+IMPORTRANG"&amp;"E(""https://docs.google.com/spreadsheets/d/13JHU_EFbsQOUQ0JSQ3dWy1VTRosIWcDq6Nc99z2qzdc/edit?usp=sharing"",""หนองคาย!L381"")+IMPORTRANGE(""https://docs.google.com/spreadsheets/d/1Hx73zIEgVdDZZaYSTc46Dqv64atFhpr3GelxLbaIN8A/edit?usp=sharing"",""หนองบัวลำภู"&amp;"!L381"")+IMPORTRANGE(""https://docs.google.com/spreadsheets/d/1lFxr3ctmjFN90yc-xV6jrQ9Ty8BKYVBWnAZ15wcNIJc/edit?usp=sharing"",""อำนาจเจริญ!L381"")+IMPORTRANGE(""https://docs.google.com/spreadsheets/d/1gF7RJpRnL-1oyjyeWxs5SFWEH7y8ahOZsQlyp2A2e-A/edit?usp=s"&amp;"haring"",""อุดรธานี!L381"")+IMPORTRANGE(""https://docs.google.com/spreadsheets/d/1kfLP0j3INXRa8bTDpcEmoWewMBV61jlFlfzczfjWIgc/edit?usp=sharing"",""อุบลราชธานี!L381"")"),0)</f>
        <v>0</v>
      </c>
      <c r="M381" s="59">
        <f ca="1">IFERROR(__xludf.DUMMYFUNCTION("IMPORTRANGE(""https://docs.google.com/spreadsheets/d/1yhBcrRPreicbMKl9Bu_Snb2-OcQAF62RKfhTLhJ2eAA/edit?usp=sharing"",""กาฬสินธุ์!M381"")+IMPORTRANGE(""https://docs.google.com/spreadsheets/d/1aHkj4IaQMThhwWwevcOymEh837vdxeC_PycurhTbGFA/edit?usp=sharing"","&amp;"""ขอนแก่น!M381"")+IMPORTRANGE(""https://docs.google.com/spreadsheets/d/1FvTu2DsIWUjP6WCWra38Bkj_oOl_sOMf14r5Fg5srxU/edit?usp=sharing"",""ชัยภูมิ!M381"")+IMPORTRANGE(""https://docs.google.com/spreadsheets/d/1XVB7oCJ3pr-vBUdflwPQ8Z2LlzhnCvZaaYjAfP-647E/edit"&amp;"?usp=sharing"",""นครพนม!M381"")+IMPORTRANGE(""https://docs.google.com/spreadsheets/d/1Mnpb-8PYAgn85W6KOTD40hc_Xc55CaLfHoGAbrZ8tls/edit?usp=sharing"",""นครราชสีมา!M381"")+IMPORTRANGE(""https://docs.google.com/spreadsheets/d/1xoDLGBv9CYbyosIhki0kTq6IpYNj-gp"&amp;"jxfobnaDiut0/edit?usp=sharing"",""บึงกาฬ!M381"")+IMPORTRANGE(""https://docs.google.com/spreadsheets/d/1MMPq-JyI6DSgQETxuSiXkesP-P7JHuemnE6QJIa-Nlw/edit?usp=sharing"",""บุรีรัมย์!M381"")+IMPORTRANGE(""https://docs.google.com/spreadsheets/d/1l6IZ8xUPgMrESzc"&amp;"TYwhA1k_tPjeQjJPTqlm8Gd9eU5g/edit?usp=sharing"",""มหาสารคาม!M381"")+IMPORTRANGE(""https://docs.google.com/spreadsheets/d/1uB74YLqNjWX6FObjekfB2NtSYigTQyR2rq9u4Ub2Sq4/edit?usp=sharing"",""มุกดาหาร!M381"")+IMPORTRANGE(""https://docs.google.com/spreadsheets/"&amp;"d/1NexK3geCPxCTO1fzNF8dPec7yZyUx3OaWkFBC9HsQOo/edit?usp=sharing"",""ยโสธร!M381"")+IMPORTRANGE(""https://docs.google.com/spreadsheets/d/1v_cJrbBlyqmnHPReHk44g9NrMRdENNlSy_E_c5M9fIg/edit?usp=sharing"",""ร้อยเอ็ด!M381"")+IMPORTRANGE(""https://docs.google.com"&amp;"/spreadsheets/d/1Ul4RCpCX66NxYADU1QpwAPjOmBzW64SsT11s1wzXw_c/edit?usp=sharing"",""เลย!M381"")+IMPORTRANGE(""https://docs.google.com/spreadsheets/d/1bRrNKwbHDVktQG10isr5vbWRtt5spIZPpkOSWgbT5ug/edit?usp=sharing"",""ศรีสะเกษ!M381"")+IMPORTRANGE(""https://doc"&amp;"s.google.com/spreadsheets/d/17P34_Ow5kFBfdQD0qspb2UuPX5zpi6WMrQzslghyvrI/edit?usp=sharing"",""สกลนคร!M381"")+IMPORTRANGE(""https://docs.google.com/spreadsheets/d/1yswqbM3-AEpThF3ZSUa1AcmHnmRTF1vlJ1CZGcJ8YuU/edit?usp=sharing"",""สุรินทร์!M381"")+IMPORTRANG"&amp;"E(""https://docs.google.com/spreadsheets/d/13JHU_EFbsQOUQ0JSQ3dWy1VTRosIWcDq6Nc99z2qzdc/edit?usp=sharing"",""หนองคาย!M381"")+IMPORTRANGE(""https://docs.google.com/spreadsheets/d/1Hx73zIEgVdDZZaYSTc46Dqv64atFhpr3GelxLbaIN8A/edit?usp=sharing"",""หนองบัวลำภู"&amp;"!M381"")+IMPORTRANGE(""https://docs.google.com/spreadsheets/d/1lFxr3ctmjFN90yc-xV6jrQ9Ty8BKYVBWnAZ15wcNIJc/edit?usp=sharing"",""อำนาจเจริญ!M381"")+IMPORTRANGE(""https://docs.google.com/spreadsheets/d/1gF7RJpRnL-1oyjyeWxs5SFWEH7y8ahOZsQlyp2A2e-A/edit?usp=s"&amp;"haring"",""อุดรธานี!M381"")+IMPORTRANGE(""https://docs.google.com/spreadsheets/d/1kfLP0j3INXRa8bTDpcEmoWewMBV61jlFlfzczfjWIgc/edit?usp=sharing"",""อุบลราชธานี!M381"")"),0)</f>
        <v>0</v>
      </c>
      <c r="N381" s="59">
        <f ca="1">IFERROR(__xludf.DUMMYFUNCTION("IMPORTRANGE(""https://docs.google.com/spreadsheets/d/1yhBcrRPreicbMKl9Bu_Snb2-OcQAF62RKfhTLhJ2eAA/edit?usp=sharing"",""กาฬสินธุ์!N381"")+IMPORTRANGE(""https://docs.google.com/spreadsheets/d/1aHkj4IaQMThhwWwevcOymEh837vdxeC_PycurhTbGFA/edit?usp=sharing"","&amp;"""ขอนแก่น!N381"")+IMPORTRANGE(""https://docs.google.com/spreadsheets/d/1FvTu2DsIWUjP6WCWra38Bkj_oOl_sOMf14r5Fg5srxU/edit?usp=sharing"",""ชัยภูมิ!N381"")+IMPORTRANGE(""https://docs.google.com/spreadsheets/d/1XVB7oCJ3pr-vBUdflwPQ8Z2LlzhnCvZaaYjAfP-647E/edit"&amp;"?usp=sharing"",""นครพนม!N381"")+IMPORTRANGE(""https://docs.google.com/spreadsheets/d/1Mnpb-8PYAgn85W6KOTD40hc_Xc55CaLfHoGAbrZ8tls/edit?usp=sharing"",""นครราชสีมา!N381"")+IMPORTRANGE(""https://docs.google.com/spreadsheets/d/1xoDLGBv9CYbyosIhki0kTq6IpYNj-gp"&amp;"jxfobnaDiut0/edit?usp=sharing"",""บึงกาฬ!N381"")+IMPORTRANGE(""https://docs.google.com/spreadsheets/d/1MMPq-JyI6DSgQETxuSiXkesP-P7JHuemnE6QJIa-Nlw/edit?usp=sharing"",""บุรีรัมย์!N381"")+IMPORTRANGE(""https://docs.google.com/spreadsheets/d/1l6IZ8xUPgMrESzc"&amp;"TYwhA1k_tPjeQjJPTqlm8Gd9eU5g/edit?usp=sharing"",""มหาสารคาม!N381"")+IMPORTRANGE(""https://docs.google.com/spreadsheets/d/1uB74YLqNjWX6FObjekfB2NtSYigTQyR2rq9u4Ub2Sq4/edit?usp=sharing"",""มุกดาหาร!N381"")+IMPORTRANGE(""https://docs.google.com/spreadsheets/"&amp;"d/1NexK3geCPxCTO1fzNF8dPec7yZyUx3OaWkFBC9HsQOo/edit?usp=sharing"",""ยโสธร!N381"")+IMPORTRANGE(""https://docs.google.com/spreadsheets/d/1v_cJrbBlyqmnHPReHk44g9NrMRdENNlSy_E_c5M9fIg/edit?usp=sharing"",""ร้อยเอ็ด!N381"")+IMPORTRANGE(""https://docs.google.com"&amp;"/spreadsheets/d/1Ul4RCpCX66NxYADU1QpwAPjOmBzW64SsT11s1wzXw_c/edit?usp=sharing"",""เลย!N381"")+IMPORTRANGE(""https://docs.google.com/spreadsheets/d/1bRrNKwbHDVktQG10isr5vbWRtt5spIZPpkOSWgbT5ug/edit?usp=sharing"",""ศรีสะเกษ!N381"")+IMPORTRANGE(""https://doc"&amp;"s.google.com/spreadsheets/d/17P34_Ow5kFBfdQD0qspb2UuPX5zpi6WMrQzslghyvrI/edit?usp=sharing"",""สกลนคร!N381"")+IMPORTRANGE(""https://docs.google.com/spreadsheets/d/1yswqbM3-AEpThF3ZSUa1AcmHnmRTF1vlJ1CZGcJ8YuU/edit?usp=sharing"",""สุรินทร์!N381"")+IMPORTRANG"&amp;"E(""https://docs.google.com/spreadsheets/d/13JHU_EFbsQOUQ0JSQ3dWy1VTRosIWcDq6Nc99z2qzdc/edit?usp=sharing"",""หนองคาย!N381"")+IMPORTRANGE(""https://docs.google.com/spreadsheets/d/1Hx73zIEgVdDZZaYSTc46Dqv64atFhpr3GelxLbaIN8A/edit?usp=sharing"",""หนองบัวลำภู"&amp;"!N381"")+IMPORTRANGE(""https://docs.google.com/spreadsheets/d/1lFxr3ctmjFN90yc-xV6jrQ9Ty8BKYVBWnAZ15wcNIJc/edit?usp=sharing"",""อำนาจเจริญ!N381"")+IMPORTRANGE(""https://docs.google.com/spreadsheets/d/1gF7RJpRnL-1oyjyeWxs5SFWEH7y8ahOZsQlyp2A2e-A/edit?usp=s"&amp;"haring"",""อุดรธานี!N381"")+IMPORTRANGE(""https://docs.google.com/spreadsheets/d/1kfLP0j3INXRa8bTDpcEmoWewMBV61jlFlfzczfjWIgc/edit?usp=sharing"",""อุบลราชธานี!N381"")"),0)</f>
        <v>0</v>
      </c>
      <c r="O381" s="59">
        <f t="shared" ca="1" si="162"/>
        <v>0</v>
      </c>
      <c r="P381" s="59">
        <f t="shared" ca="1" si="163"/>
        <v>0</v>
      </c>
    </row>
    <row r="382" spans="1:16" ht="18.75" x14ac:dyDescent="0.25">
      <c r="A382" s="157"/>
      <c r="B382" s="53"/>
      <c r="C382" s="53"/>
      <c r="D382" s="53"/>
      <c r="E382" s="60" t="s">
        <v>35</v>
      </c>
      <c r="F382" s="53"/>
      <c r="G382" s="55"/>
      <c r="H382" s="163" t="s">
        <v>12</v>
      </c>
      <c r="I382" s="164"/>
      <c r="J382" s="164"/>
      <c r="K382" s="165"/>
      <c r="L382" s="59">
        <f ca="1">IFERROR(__xludf.DUMMYFUNCTION("IMPORTRANGE(""https://docs.google.com/spreadsheets/d/1yhBcrRPreicbMKl9Bu_Snb2-OcQAF62RKfhTLhJ2eAA/edit?usp=sharing"",""กาฬสินธุ์!L382"")+IMPORTRANGE(""https://docs.google.com/spreadsheets/d/1aHkj4IaQMThhwWwevcOymEh837vdxeC_PycurhTbGFA/edit?usp=sharing"","&amp;"""ขอนแก่น!L382"")+IMPORTRANGE(""https://docs.google.com/spreadsheets/d/1FvTu2DsIWUjP6WCWra38Bkj_oOl_sOMf14r5Fg5srxU/edit?usp=sharing"",""ชัยภูมิ!L382"")+IMPORTRANGE(""https://docs.google.com/spreadsheets/d/1XVB7oCJ3pr-vBUdflwPQ8Z2LlzhnCvZaaYjAfP-647E/edit"&amp;"?usp=sharing"",""นครพนม!L382"")+IMPORTRANGE(""https://docs.google.com/spreadsheets/d/1Mnpb-8PYAgn85W6KOTD40hc_Xc55CaLfHoGAbrZ8tls/edit?usp=sharing"",""นครราชสีมา!L382"")+IMPORTRANGE(""https://docs.google.com/spreadsheets/d/1xoDLGBv9CYbyosIhki0kTq6IpYNj-gp"&amp;"jxfobnaDiut0/edit?usp=sharing"",""บึงกาฬ!L382"")+IMPORTRANGE(""https://docs.google.com/spreadsheets/d/1MMPq-JyI6DSgQETxuSiXkesP-P7JHuemnE6QJIa-Nlw/edit?usp=sharing"",""บุรีรัมย์!L382"")+IMPORTRANGE(""https://docs.google.com/spreadsheets/d/1l6IZ8xUPgMrESzc"&amp;"TYwhA1k_tPjeQjJPTqlm8Gd9eU5g/edit?usp=sharing"",""มหาสารคาม!L382"")+IMPORTRANGE(""https://docs.google.com/spreadsheets/d/1uB74YLqNjWX6FObjekfB2NtSYigTQyR2rq9u4Ub2Sq4/edit?usp=sharing"",""มุกดาหาร!L382"")+IMPORTRANGE(""https://docs.google.com/spreadsheets/"&amp;"d/1NexK3geCPxCTO1fzNF8dPec7yZyUx3OaWkFBC9HsQOo/edit?usp=sharing"",""ยโสธร!L382"")+IMPORTRANGE(""https://docs.google.com/spreadsheets/d/1v_cJrbBlyqmnHPReHk44g9NrMRdENNlSy_E_c5M9fIg/edit?usp=sharing"",""ร้อยเอ็ด!L382"")+IMPORTRANGE(""https://docs.google.com"&amp;"/spreadsheets/d/1Ul4RCpCX66NxYADU1QpwAPjOmBzW64SsT11s1wzXw_c/edit?usp=sharing"",""เลย!L382"")+IMPORTRANGE(""https://docs.google.com/spreadsheets/d/1bRrNKwbHDVktQG10isr5vbWRtt5spIZPpkOSWgbT5ug/edit?usp=sharing"",""ศรีสะเกษ!L382"")+IMPORTRANGE(""https://doc"&amp;"s.google.com/spreadsheets/d/17P34_Ow5kFBfdQD0qspb2UuPX5zpi6WMrQzslghyvrI/edit?usp=sharing"",""สกลนคร!L382"")+IMPORTRANGE(""https://docs.google.com/spreadsheets/d/1yswqbM3-AEpThF3ZSUa1AcmHnmRTF1vlJ1CZGcJ8YuU/edit?usp=sharing"",""สุรินทร์!L382"")+IMPORTRANG"&amp;"E(""https://docs.google.com/spreadsheets/d/13JHU_EFbsQOUQ0JSQ3dWy1VTRosIWcDq6Nc99z2qzdc/edit?usp=sharing"",""หนองคาย!L382"")+IMPORTRANGE(""https://docs.google.com/spreadsheets/d/1Hx73zIEgVdDZZaYSTc46Dqv64atFhpr3GelxLbaIN8A/edit?usp=sharing"",""หนองบัวลำภู"&amp;"!L382"")+IMPORTRANGE(""https://docs.google.com/spreadsheets/d/1lFxr3ctmjFN90yc-xV6jrQ9Ty8BKYVBWnAZ15wcNIJc/edit?usp=sharing"",""อำนาจเจริญ!L382"")+IMPORTRANGE(""https://docs.google.com/spreadsheets/d/1gF7RJpRnL-1oyjyeWxs5SFWEH7y8ahOZsQlyp2A2e-A/edit?usp=s"&amp;"haring"",""อุดรธานี!L382"")+IMPORTRANGE(""https://docs.google.com/spreadsheets/d/1kfLP0j3INXRa8bTDpcEmoWewMBV61jlFlfzczfjWIgc/edit?usp=sharing"",""อุบลราชธานี!L382"")"),0)</f>
        <v>0</v>
      </c>
      <c r="M382" s="59">
        <f ca="1">IFERROR(__xludf.DUMMYFUNCTION("IMPORTRANGE(""https://docs.google.com/spreadsheets/d/1yhBcrRPreicbMKl9Bu_Snb2-OcQAF62RKfhTLhJ2eAA/edit?usp=sharing"",""กาฬสินธุ์!M382"")+IMPORTRANGE(""https://docs.google.com/spreadsheets/d/1aHkj4IaQMThhwWwevcOymEh837vdxeC_PycurhTbGFA/edit?usp=sharing"","&amp;"""ขอนแก่น!M382"")+IMPORTRANGE(""https://docs.google.com/spreadsheets/d/1FvTu2DsIWUjP6WCWra38Bkj_oOl_sOMf14r5Fg5srxU/edit?usp=sharing"",""ชัยภูมิ!M382"")+IMPORTRANGE(""https://docs.google.com/spreadsheets/d/1XVB7oCJ3pr-vBUdflwPQ8Z2LlzhnCvZaaYjAfP-647E/edit"&amp;"?usp=sharing"",""นครพนม!M382"")+IMPORTRANGE(""https://docs.google.com/spreadsheets/d/1Mnpb-8PYAgn85W6KOTD40hc_Xc55CaLfHoGAbrZ8tls/edit?usp=sharing"",""นครราชสีมา!M382"")+IMPORTRANGE(""https://docs.google.com/spreadsheets/d/1xoDLGBv9CYbyosIhki0kTq6IpYNj-gp"&amp;"jxfobnaDiut0/edit?usp=sharing"",""บึงกาฬ!M382"")+IMPORTRANGE(""https://docs.google.com/spreadsheets/d/1MMPq-JyI6DSgQETxuSiXkesP-P7JHuemnE6QJIa-Nlw/edit?usp=sharing"",""บุรีรัมย์!M382"")+IMPORTRANGE(""https://docs.google.com/spreadsheets/d/1l6IZ8xUPgMrESzc"&amp;"TYwhA1k_tPjeQjJPTqlm8Gd9eU5g/edit?usp=sharing"",""มหาสารคาม!M382"")+IMPORTRANGE(""https://docs.google.com/spreadsheets/d/1uB74YLqNjWX6FObjekfB2NtSYigTQyR2rq9u4Ub2Sq4/edit?usp=sharing"",""มุกดาหาร!M382"")+IMPORTRANGE(""https://docs.google.com/spreadsheets/"&amp;"d/1NexK3geCPxCTO1fzNF8dPec7yZyUx3OaWkFBC9HsQOo/edit?usp=sharing"",""ยโสธร!M382"")+IMPORTRANGE(""https://docs.google.com/spreadsheets/d/1v_cJrbBlyqmnHPReHk44g9NrMRdENNlSy_E_c5M9fIg/edit?usp=sharing"",""ร้อยเอ็ด!M382"")+IMPORTRANGE(""https://docs.google.com"&amp;"/spreadsheets/d/1Ul4RCpCX66NxYADU1QpwAPjOmBzW64SsT11s1wzXw_c/edit?usp=sharing"",""เลย!M382"")+IMPORTRANGE(""https://docs.google.com/spreadsheets/d/1bRrNKwbHDVktQG10isr5vbWRtt5spIZPpkOSWgbT5ug/edit?usp=sharing"",""ศรีสะเกษ!M382"")+IMPORTRANGE(""https://doc"&amp;"s.google.com/spreadsheets/d/17P34_Ow5kFBfdQD0qspb2UuPX5zpi6WMrQzslghyvrI/edit?usp=sharing"",""สกลนคร!M382"")+IMPORTRANGE(""https://docs.google.com/spreadsheets/d/1yswqbM3-AEpThF3ZSUa1AcmHnmRTF1vlJ1CZGcJ8YuU/edit?usp=sharing"",""สุรินทร์!M382"")+IMPORTRANG"&amp;"E(""https://docs.google.com/spreadsheets/d/13JHU_EFbsQOUQ0JSQ3dWy1VTRosIWcDq6Nc99z2qzdc/edit?usp=sharing"",""หนองคาย!M382"")+IMPORTRANGE(""https://docs.google.com/spreadsheets/d/1Hx73zIEgVdDZZaYSTc46Dqv64atFhpr3GelxLbaIN8A/edit?usp=sharing"",""หนองบัวลำภู"&amp;"!M382"")+IMPORTRANGE(""https://docs.google.com/spreadsheets/d/1lFxr3ctmjFN90yc-xV6jrQ9Ty8BKYVBWnAZ15wcNIJc/edit?usp=sharing"",""อำนาจเจริญ!M382"")+IMPORTRANGE(""https://docs.google.com/spreadsheets/d/1gF7RJpRnL-1oyjyeWxs5SFWEH7y8ahOZsQlyp2A2e-A/edit?usp=s"&amp;"haring"",""อุดรธานี!M382"")+IMPORTRANGE(""https://docs.google.com/spreadsheets/d/1kfLP0j3INXRa8bTDpcEmoWewMBV61jlFlfzczfjWIgc/edit?usp=sharing"",""อุบลราชธานี!M382"")"),0)</f>
        <v>0</v>
      </c>
      <c r="N382" s="59">
        <f ca="1">IFERROR(__xludf.DUMMYFUNCTION("IMPORTRANGE(""https://docs.google.com/spreadsheets/d/1yhBcrRPreicbMKl9Bu_Snb2-OcQAF62RKfhTLhJ2eAA/edit?usp=sharing"",""กาฬสินธุ์!N382"")+IMPORTRANGE(""https://docs.google.com/spreadsheets/d/1aHkj4IaQMThhwWwevcOymEh837vdxeC_PycurhTbGFA/edit?usp=sharing"","&amp;"""ขอนแก่น!N382"")+IMPORTRANGE(""https://docs.google.com/spreadsheets/d/1FvTu2DsIWUjP6WCWra38Bkj_oOl_sOMf14r5Fg5srxU/edit?usp=sharing"",""ชัยภูมิ!N382"")+IMPORTRANGE(""https://docs.google.com/spreadsheets/d/1XVB7oCJ3pr-vBUdflwPQ8Z2LlzhnCvZaaYjAfP-647E/edit"&amp;"?usp=sharing"",""นครพนม!N382"")+IMPORTRANGE(""https://docs.google.com/spreadsheets/d/1Mnpb-8PYAgn85W6KOTD40hc_Xc55CaLfHoGAbrZ8tls/edit?usp=sharing"",""นครราชสีมา!N382"")+IMPORTRANGE(""https://docs.google.com/spreadsheets/d/1xoDLGBv9CYbyosIhki0kTq6IpYNj-gp"&amp;"jxfobnaDiut0/edit?usp=sharing"",""บึงกาฬ!N382"")+IMPORTRANGE(""https://docs.google.com/spreadsheets/d/1MMPq-JyI6DSgQETxuSiXkesP-P7JHuemnE6QJIa-Nlw/edit?usp=sharing"",""บุรีรัมย์!N382"")+IMPORTRANGE(""https://docs.google.com/spreadsheets/d/1l6IZ8xUPgMrESzc"&amp;"TYwhA1k_tPjeQjJPTqlm8Gd9eU5g/edit?usp=sharing"",""มหาสารคาม!N382"")+IMPORTRANGE(""https://docs.google.com/spreadsheets/d/1uB74YLqNjWX6FObjekfB2NtSYigTQyR2rq9u4Ub2Sq4/edit?usp=sharing"",""มุกดาหาร!N382"")+IMPORTRANGE(""https://docs.google.com/spreadsheets/"&amp;"d/1NexK3geCPxCTO1fzNF8dPec7yZyUx3OaWkFBC9HsQOo/edit?usp=sharing"",""ยโสธร!N382"")+IMPORTRANGE(""https://docs.google.com/spreadsheets/d/1v_cJrbBlyqmnHPReHk44g9NrMRdENNlSy_E_c5M9fIg/edit?usp=sharing"",""ร้อยเอ็ด!N382"")+IMPORTRANGE(""https://docs.google.com"&amp;"/spreadsheets/d/1Ul4RCpCX66NxYADU1QpwAPjOmBzW64SsT11s1wzXw_c/edit?usp=sharing"",""เลย!N382"")+IMPORTRANGE(""https://docs.google.com/spreadsheets/d/1bRrNKwbHDVktQG10isr5vbWRtt5spIZPpkOSWgbT5ug/edit?usp=sharing"",""ศรีสะเกษ!N382"")+IMPORTRANGE(""https://doc"&amp;"s.google.com/spreadsheets/d/17P34_Ow5kFBfdQD0qspb2UuPX5zpi6WMrQzslghyvrI/edit?usp=sharing"",""สกลนคร!N382"")+IMPORTRANGE(""https://docs.google.com/spreadsheets/d/1yswqbM3-AEpThF3ZSUa1AcmHnmRTF1vlJ1CZGcJ8YuU/edit?usp=sharing"",""สุรินทร์!N382"")+IMPORTRANG"&amp;"E(""https://docs.google.com/spreadsheets/d/13JHU_EFbsQOUQ0JSQ3dWy1VTRosIWcDq6Nc99z2qzdc/edit?usp=sharing"",""หนองคาย!N382"")+IMPORTRANGE(""https://docs.google.com/spreadsheets/d/1Hx73zIEgVdDZZaYSTc46Dqv64atFhpr3GelxLbaIN8A/edit?usp=sharing"",""หนองบัวลำภู"&amp;"!N382"")+IMPORTRANGE(""https://docs.google.com/spreadsheets/d/1lFxr3ctmjFN90yc-xV6jrQ9Ty8BKYVBWnAZ15wcNIJc/edit?usp=sharing"",""อำนาจเจริญ!N382"")+IMPORTRANGE(""https://docs.google.com/spreadsheets/d/1gF7RJpRnL-1oyjyeWxs5SFWEH7y8ahOZsQlyp2A2e-A/edit?usp=s"&amp;"haring"",""อุดรธานี!N382"")+IMPORTRANGE(""https://docs.google.com/spreadsheets/d/1kfLP0j3INXRa8bTDpcEmoWewMBV61jlFlfzczfjWIgc/edit?usp=sharing"",""อุบลราชธานี!N382"")"),0)</f>
        <v>0</v>
      </c>
      <c r="O382" s="59">
        <f t="shared" ca="1" si="162"/>
        <v>0</v>
      </c>
      <c r="P382" s="59">
        <f t="shared" ca="1" si="163"/>
        <v>0</v>
      </c>
    </row>
    <row r="383" spans="1:16" ht="18.75" x14ac:dyDescent="0.25">
      <c r="A383" s="157"/>
      <c r="B383" s="53"/>
      <c r="C383" s="53"/>
      <c r="D383" s="54" t="s">
        <v>21</v>
      </c>
      <c r="E383" s="53"/>
      <c r="F383" s="53"/>
      <c r="G383" s="55"/>
      <c r="H383" s="166" t="s">
        <v>12</v>
      </c>
      <c r="I383" s="164"/>
      <c r="J383" s="164"/>
      <c r="K383" s="165"/>
      <c r="L383" s="59">
        <f t="shared" ref="L383:N383" ca="1" si="167">L384+L385</f>
        <v>0</v>
      </c>
      <c r="M383" s="59">
        <f t="shared" ca="1" si="167"/>
        <v>0</v>
      </c>
      <c r="N383" s="59">
        <f t="shared" ca="1" si="167"/>
        <v>0</v>
      </c>
      <c r="O383" s="59">
        <f t="shared" ca="1" si="162"/>
        <v>0</v>
      </c>
      <c r="P383" s="59">
        <f t="shared" ca="1" si="163"/>
        <v>0</v>
      </c>
    </row>
    <row r="384" spans="1:16" ht="18.75" x14ac:dyDescent="0.25">
      <c r="A384" s="157"/>
      <c r="B384" s="53"/>
      <c r="C384" s="53"/>
      <c r="D384" s="53"/>
      <c r="E384" s="60" t="s">
        <v>18</v>
      </c>
      <c r="F384" s="53"/>
      <c r="G384" s="55"/>
      <c r="H384" s="163" t="s">
        <v>12</v>
      </c>
      <c r="I384" s="164"/>
      <c r="J384" s="164"/>
      <c r="K384" s="165"/>
      <c r="L384" s="59">
        <f ca="1">IFERROR(__xludf.DUMMYFUNCTION("IMPORTRANGE(""https://docs.google.com/spreadsheets/d/1yhBcrRPreicbMKl9Bu_Snb2-OcQAF62RKfhTLhJ2eAA/edit?usp=sharing"",""กาฬสินธุ์!L384"")+IMPORTRANGE(""https://docs.google.com/spreadsheets/d/1aHkj4IaQMThhwWwevcOymEh837vdxeC_PycurhTbGFA/edit?usp=sharing"","&amp;"""ขอนแก่น!L384"")+IMPORTRANGE(""https://docs.google.com/spreadsheets/d/1FvTu2DsIWUjP6WCWra38Bkj_oOl_sOMf14r5Fg5srxU/edit?usp=sharing"",""ชัยภูมิ!L384"")+IMPORTRANGE(""https://docs.google.com/spreadsheets/d/1XVB7oCJ3pr-vBUdflwPQ8Z2LlzhnCvZaaYjAfP-647E/edit"&amp;"?usp=sharing"",""นครพนม!L384"")+IMPORTRANGE(""https://docs.google.com/spreadsheets/d/1Mnpb-8PYAgn85W6KOTD40hc_Xc55CaLfHoGAbrZ8tls/edit?usp=sharing"",""นครราชสีมา!L384"")+IMPORTRANGE(""https://docs.google.com/spreadsheets/d/1xoDLGBv9CYbyosIhki0kTq6IpYNj-gp"&amp;"jxfobnaDiut0/edit?usp=sharing"",""บึงกาฬ!L384"")+IMPORTRANGE(""https://docs.google.com/spreadsheets/d/1MMPq-JyI6DSgQETxuSiXkesP-P7JHuemnE6QJIa-Nlw/edit?usp=sharing"",""บุรีรัมย์!L384"")+IMPORTRANGE(""https://docs.google.com/spreadsheets/d/1l6IZ8xUPgMrESzc"&amp;"TYwhA1k_tPjeQjJPTqlm8Gd9eU5g/edit?usp=sharing"",""มหาสารคาม!L384"")+IMPORTRANGE(""https://docs.google.com/spreadsheets/d/1uB74YLqNjWX6FObjekfB2NtSYigTQyR2rq9u4Ub2Sq4/edit?usp=sharing"",""มุกดาหาร!L384"")+IMPORTRANGE(""https://docs.google.com/spreadsheets/"&amp;"d/1NexK3geCPxCTO1fzNF8dPec7yZyUx3OaWkFBC9HsQOo/edit?usp=sharing"",""ยโสธร!L384"")+IMPORTRANGE(""https://docs.google.com/spreadsheets/d/1v_cJrbBlyqmnHPReHk44g9NrMRdENNlSy_E_c5M9fIg/edit?usp=sharing"",""ร้อยเอ็ด!L384"")+IMPORTRANGE(""https://docs.google.com"&amp;"/spreadsheets/d/1Ul4RCpCX66NxYADU1QpwAPjOmBzW64SsT11s1wzXw_c/edit?usp=sharing"",""เลย!L384"")+IMPORTRANGE(""https://docs.google.com/spreadsheets/d/1bRrNKwbHDVktQG10isr5vbWRtt5spIZPpkOSWgbT5ug/edit?usp=sharing"",""ศรีสะเกษ!L384"")+IMPORTRANGE(""https://doc"&amp;"s.google.com/spreadsheets/d/17P34_Ow5kFBfdQD0qspb2UuPX5zpi6WMrQzslghyvrI/edit?usp=sharing"",""สกลนคร!L384"")+IMPORTRANGE(""https://docs.google.com/spreadsheets/d/1yswqbM3-AEpThF3ZSUa1AcmHnmRTF1vlJ1CZGcJ8YuU/edit?usp=sharing"",""สุรินทร์!L384"")+IMPORTRANG"&amp;"E(""https://docs.google.com/spreadsheets/d/13JHU_EFbsQOUQ0JSQ3dWy1VTRosIWcDq6Nc99z2qzdc/edit?usp=sharing"",""หนองคาย!L384"")+IMPORTRANGE(""https://docs.google.com/spreadsheets/d/1Hx73zIEgVdDZZaYSTc46Dqv64atFhpr3GelxLbaIN8A/edit?usp=sharing"",""หนองบัวลำภู"&amp;"!L384"")+IMPORTRANGE(""https://docs.google.com/spreadsheets/d/1lFxr3ctmjFN90yc-xV6jrQ9Ty8BKYVBWnAZ15wcNIJc/edit?usp=sharing"",""อำนาจเจริญ!L384"")+IMPORTRANGE(""https://docs.google.com/spreadsheets/d/1gF7RJpRnL-1oyjyeWxs5SFWEH7y8ahOZsQlyp2A2e-A/edit?usp=s"&amp;"haring"",""อุดรธานี!L384"")+IMPORTRANGE(""https://docs.google.com/spreadsheets/d/1kfLP0j3INXRa8bTDpcEmoWewMBV61jlFlfzczfjWIgc/edit?usp=sharing"",""อุบลราชธานี!L384"")"),0)</f>
        <v>0</v>
      </c>
      <c r="M384" s="59">
        <f ca="1">IFERROR(__xludf.DUMMYFUNCTION("IMPORTRANGE(""https://docs.google.com/spreadsheets/d/1yhBcrRPreicbMKl9Bu_Snb2-OcQAF62RKfhTLhJ2eAA/edit?usp=sharing"",""กาฬสินธุ์!M384"")+IMPORTRANGE(""https://docs.google.com/spreadsheets/d/1aHkj4IaQMThhwWwevcOymEh837vdxeC_PycurhTbGFA/edit?usp=sharing"","&amp;"""ขอนแก่น!M384"")+IMPORTRANGE(""https://docs.google.com/spreadsheets/d/1FvTu2DsIWUjP6WCWra38Bkj_oOl_sOMf14r5Fg5srxU/edit?usp=sharing"",""ชัยภูมิ!M384"")+IMPORTRANGE(""https://docs.google.com/spreadsheets/d/1XVB7oCJ3pr-vBUdflwPQ8Z2LlzhnCvZaaYjAfP-647E/edit"&amp;"?usp=sharing"",""นครพนม!M384"")+IMPORTRANGE(""https://docs.google.com/spreadsheets/d/1Mnpb-8PYAgn85W6KOTD40hc_Xc55CaLfHoGAbrZ8tls/edit?usp=sharing"",""นครราชสีมา!M384"")+IMPORTRANGE(""https://docs.google.com/spreadsheets/d/1xoDLGBv9CYbyosIhki0kTq6IpYNj-gp"&amp;"jxfobnaDiut0/edit?usp=sharing"",""บึงกาฬ!M384"")+IMPORTRANGE(""https://docs.google.com/spreadsheets/d/1MMPq-JyI6DSgQETxuSiXkesP-P7JHuemnE6QJIa-Nlw/edit?usp=sharing"",""บุรีรัมย์!M384"")+IMPORTRANGE(""https://docs.google.com/spreadsheets/d/1l6IZ8xUPgMrESzc"&amp;"TYwhA1k_tPjeQjJPTqlm8Gd9eU5g/edit?usp=sharing"",""มหาสารคาม!M384"")+IMPORTRANGE(""https://docs.google.com/spreadsheets/d/1uB74YLqNjWX6FObjekfB2NtSYigTQyR2rq9u4Ub2Sq4/edit?usp=sharing"",""มุกดาหาร!M384"")+IMPORTRANGE(""https://docs.google.com/spreadsheets/"&amp;"d/1NexK3geCPxCTO1fzNF8dPec7yZyUx3OaWkFBC9HsQOo/edit?usp=sharing"",""ยโสธร!M384"")+IMPORTRANGE(""https://docs.google.com/spreadsheets/d/1v_cJrbBlyqmnHPReHk44g9NrMRdENNlSy_E_c5M9fIg/edit?usp=sharing"",""ร้อยเอ็ด!M384"")+IMPORTRANGE(""https://docs.google.com"&amp;"/spreadsheets/d/1Ul4RCpCX66NxYADU1QpwAPjOmBzW64SsT11s1wzXw_c/edit?usp=sharing"",""เลย!M384"")+IMPORTRANGE(""https://docs.google.com/spreadsheets/d/1bRrNKwbHDVktQG10isr5vbWRtt5spIZPpkOSWgbT5ug/edit?usp=sharing"",""ศรีสะเกษ!M384"")+IMPORTRANGE(""https://doc"&amp;"s.google.com/spreadsheets/d/17P34_Ow5kFBfdQD0qspb2UuPX5zpi6WMrQzslghyvrI/edit?usp=sharing"",""สกลนคร!M384"")+IMPORTRANGE(""https://docs.google.com/spreadsheets/d/1yswqbM3-AEpThF3ZSUa1AcmHnmRTF1vlJ1CZGcJ8YuU/edit?usp=sharing"",""สุรินทร์!M384"")+IMPORTRANG"&amp;"E(""https://docs.google.com/spreadsheets/d/13JHU_EFbsQOUQ0JSQ3dWy1VTRosIWcDq6Nc99z2qzdc/edit?usp=sharing"",""หนองคาย!M384"")+IMPORTRANGE(""https://docs.google.com/spreadsheets/d/1Hx73zIEgVdDZZaYSTc46Dqv64atFhpr3GelxLbaIN8A/edit?usp=sharing"",""หนองบัวลำภู"&amp;"!M384"")+IMPORTRANGE(""https://docs.google.com/spreadsheets/d/1lFxr3ctmjFN90yc-xV6jrQ9Ty8BKYVBWnAZ15wcNIJc/edit?usp=sharing"",""อำนาจเจริญ!M384"")+IMPORTRANGE(""https://docs.google.com/spreadsheets/d/1gF7RJpRnL-1oyjyeWxs5SFWEH7y8ahOZsQlyp2A2e-A/edit?usp=s"&amp;"haring"",""อุดรธานี!M384"")+IMPORTRANGE(""https://docs.google.com/spreadsheets/d/1kfLP0j3INXRa8bTDpcEmoWewMBV61jlFlfzczfjWIgc/edit?usp=sharing"",""อุบลราชธานี!M384"")"),0)</f>
        <v>0</v>
      </c>
      <c r="N384" s="59">
        <f ca="1">IFERROR(__xludf.DUMMYFUNCTION("IMPORTRANGE(""https://docs.google.com/spreadsheets/d/1yhBcrRPreicbMKl9Bu_Snb2-OcQAF62RKfhTLhJ2eAA/edit?usp=sharing"",""กาฬสินธุ์!N384"")+IMPORTRANGE(""https://docs.google.com/spreadsheets/d/1aHkj4IaQMThhwWwevcOymEh837vdxeC_PycurhTbGFA/edit?usp=sharing"","&amp;"""ขอนแก่น!N384"")+IMPORTRANGE(""https://docs.google.com/spreadsheets/d/1FvTu2DsIWUjP6WCWra38Bkj_oOl_sOMf14r5Fg5srxU/edit?usp=sharing"",""ชัยภูมิ!N384"")+IMPORTRANGE(""https://docs.google.com/spreadsheets/d/1XVB7oCJ3pr-vBUdflwPQ8Z2LlzhnCvZaaYjAfP-647E/edit"&amp;"?usp=sharing"",""นครพนม!N384"")+IMPORTRANGE(""https://docs.google.com/spreadsheets/d/1Mnpb-8PYAgn85W6KOTD40hc_Xc55CaLfHoGAbrZ8tls/edit?usp=sharing"",""นครราชสีมา!N384"")+IMPORTRANGE(""https://docs.google.com/spreadsheets/d/1xoDLGBv9CYbyosIhki0kTq6IpYNj-gp"&amp;"jxfobnaDiut0/edit?usp=sharing"",""บึงกาฬ!N384"")+IMPORTRANGE(""https://docs.google.com/spreadsheets/d/1MMPq-JyI6DSgQETxuSiXkesP-P7JHuemnE6QJIa-Nlw/edit?usp=sharing"",""บุรีรัมย์!N384"")+IMPORTRANGE(""https://docs.google.com/spreadsheets/d/1l6IZ8xUPgMrESzc"&amp;"TYwhA1k_tPjeQjJPTqlm8Gd9eU5g/edit?usp=sharing"",""มหาสารคาม!N384"")+IMPORTRANGE(""https://docs.google.com/spreadsheets/d/1uB74YLqNjWX6FObjekfB2NtSYigTQyR2rq9u4Ub2Sq4/edit?usp=sharing"",""มุกดาหาร!N384"")+IMPORTRANGE(""https://docs.google.com/spreadsheets/"&amp;"d/1NexK3geCPxCTO1fzNF8dPec7yZyUx3OaWkFBC9HsQOo/edit?usp=sharing"",""ยโสธร!N384"")+IMPORTRANGE(""https://docs.google.com/spreadsheets/d/1v_cJrbBlyqmnHPReHk44g9NrMRdENNlSy_E_c5M9fIg/edit?usp=sharing"",""ร้อยเอ็ด!N384"")+IMPORTRANGE(""https://docs.google.com"&amp;"/spreadsheets/d/1Ul4RCpCX66NxYADU1QpwAPjOmBzW64SsT11s1wzXw_c/edit?usp=sharing"",""เลย!N384"")+IMPORTRANGE(""https://docs.google.com/spreadsheets/d/1bRrNKwbHDVktQG10isr5vbWRtt5spIZPpkOSWgbT5ug/edit?usp=sharing"",""ศรีสะเกษ!N384"")+IMPORTRANGE(""https://doc"&amp;"s.google.com/spreadsheets/d/17P34_Ow5kFBfdQD0qspb2UuPX5zpi6WMrQzslghyvrI/edit?usp=sharing"",""สกลนคร!N384"")+IMPORTRANGE(""https://docs.google.com/spreadsheets/d/1yswqbM3-AEpThF3ZSUa1AcmHnmRTF1vlJ1CZGcJ8YuU/edit?usp=sharing"",""สุรินทร์!N384"")+IMPORTRANG"&amp;"E(""https://docs.google.com/spreadsheets/d/13JHU_EFbsQOUQ0JSQ3dWy1VTRosIWcDq6Nc99z2qzdc/edit?usp=sharing"",""หนองคาย!N384"")+IMPORTRANGE(""https://docs.google.com/spreadsheets/d/1Hx73zIEgVdDZZaYSTc46Dqv64atFhpr3GelxLbaIN8A/edit?usp=sharing"",""หนองบัวลำภู"&amp;"!N384"")+IMPORTRANGE(""https://docs.google.com/spreadsheets/d/1lFxr3ctmjFN90yc-xV6jrQ9Ty8BKYVBWnAZ15wcNIJc/edit?usp=sharing"",""อำนาจเจริญ!N384"")+IMPORTRANGE(""https://docs.google.com/spreadsheets/d/1gF7RJpRnL-1oyjyeWxs5SFWEH7y8ahOZsQlyp2A2e-A/edit?usp=s"&amp;"haring"",""อุดรธานี!N384"")+IMPORTRANGE(""https://docs.google.com/spreadsheets/d/1kfLP0j3INXRa8bTDpcEmoWewMBV61jlFlfzczfjWIgc/edit?usp=sharing"",""อุบลราชธานี!N384"")"),0)</f>
        <v>0</v>
      </c>
      <c r="O384" s="59">
        <f t="shared" ca="1" si="162"/>
        <v>0</v>
      </c>
      <c r="P384" s="59">
        <f t="shared" ca="1" si="163"/>
        <v>0</v>
      </c>
    </row>
    <row r="385" spans="1:16" ht="18.75" x14ac:dyDescent="0.25">
      <c r="A385" s="157"/>
      <c r="B385" s="53"/>
      <c r="C385" s="53"/>
      <c r="D385" s="53"/>
      <c r="E385" s="60" t="s">
        <v>19</v>
      </c>
      <c r="F385" s="53"/>
      <c r="G385" s="55"/>
      <c r="H385" s="166" t="s">
        <v>12</v>
      </c>
      <c r="I385" s="164"/>
      <c r="J385" s="164"/>
      <c r="K385" s="165"/>
      <c r="L385" s="59">
        <f ca="1">IFERROR(__xludf.DUMMYFUNCTION("IMPORTRANGE(""https://docs.google.com/spreadsheets/d/1yhBcrRPreicbMKl9Bu_Snb2-OcQAF62RKfhTLhJ2eAA/edit?usp=sharing"",""กาฬสินธุ์!L385"")+IMPORTRANGE(""https://docs.google.com/spreadsheets/d/1aHkj4IaQMThhwWwevcOymEh837vdxeC_PycurhTbGFA/edit?usp=sharing"","&amp;"""ขอนแก่น!L385"")+IMPORTRANGE(""https://docs.google.com/spreadsheets/d/1FvTu2DsIWUjP6WCWra38Bkj_oOl_sOMf14r5Fg5srxU/edit?usp=sharing"",""ชัยภูมิ!L385"")+IMPORTRANGE(""https://docs.google.com/spreadsheets/d/1XVB7oCJ3pr-vBUdflwPQ8Z2LlzhnCvZaaYjAfP-647E/edit"&amp;"?usp=sharing"",""นครพนม!L385"")+IMPORTRANGE(""https://docs.google.com/spreadsheets/d/1Mnpb-8PYAgn85W6KOTD40hc_Xc55CaLfHoGAbrZ8tls/edit?usp=sharing"",""นครราชสีมา!L385"")+IMPORTRANGE(""https://docs.google.com/spreadsheets/d/1xoDLGBv9CYbyosIhki0kTq6IpYNj-gp"&amp;"jxfobnaDiut0/edit?usp=sharing"",""บึงกาฬ!L385"")+IMPORTRANGE(""https://docs.google.com/spreadsheets/d/1MMPq-JyI6DSgQETxuSiXkesP-P7JHuemnE6QJIa-Nlw/edit?usp=sharing"",""บุรีรัมย์!L385"")+IMPORTRANGE(""https://docs.google.com/spreadsheets/d/1l6IZ8xUPgMrESzc"&amp;"TYwhA1k_tPjeQjJPTqlm8Gd9eU5g/edit?usp=sharing"",""มหาสารคาม!L385"")+IMPORTRANGE(""https://docs.google.com/spreadsheets/d/1uB74YLqNjWX6FObjekfB2NtSYigTQyR2rq9u4Ub2Sq4/edit?usp=sharing"",""มุกดาหาร!L385"")+IMPORTRANGE(""https://docs.google.com/spreadsheets/"&amp;"d/1NexK3geCPxCTO1fzNF8dPec7yZyUx3OaWkFBC9HsQOo/edit?usp=sharing"",""ยโสธร!L385"")+IMPORTRANGE(""https://docs.google.com/spreadsheets/d/1v_cJrbBlyqmnHPReHk44g9NrMRdENNlSy_E_c5M9fIg/edit?usp=sharing"",""ร้อยเอ็ด!L385"")+IMPORTRANGE(""https://docs.google.com"&amp;"/spreadsheets/d/1Ul4RCpCX66NxYADU1QpwAPjOmBzW64SsT11s1wzXw_c/edit?usp=sharing"",""เลย!L385"")+IMPORTRANGE(""https://docs.google.com/spreadsheets/d/1bRrNKwbHDVktQG10isr5vbWRtt5spIZPpkOSWgbT5ug/edit?usp=sharing"",""ศรีสะเกษ!L385"")+IMPORTRANGE(""https://doc"&amp;"s.google.com/spreadsheets/d/17P34_Ow5kFBfdQD0qspb2UuPX5zpi6WMrQzslghyvrI/edit?usp=sharing"",""สกลนคร!L385"")+IMPORTRANGE(""https://docs.google.com/spreadsheets/d/1yswqbM3-AEpThF3ZSUa1AcmHnmRTF1vlJ1CZGcJ8YuU/edit?usp=sharing"",""สุรินทร์!L385"")+IMPORTRANG"&amp;"E(""https://docs.google.com/spreadsheets/d/13JHU_EFbsQOUQ0JSQ3dWy1VTRosIWcDq6Nc99z2qzdc/edit?usp=sharing"",""หนองคาย!L385"")+IMPORTRANGE(""https://docs.google.com/spreadsheets/d/1Hx73zIEgVdDZZaYSTc46Dqv64atFhpr3GelxLbaIN8A/edit?usp=sharing"",""หนองบัวลำภู"&amp;"!L385"")+IMPORTRANGE(""https://docs.google.com/spreadsheets/d/1lFxr3ctmjFN90yc-xV6jrQ9Ty8BKYVBWnAZ15wcNIJc/edit?usp=sharing"",""อำนาจเจริญ!L385"")+IMPORTRANGE(""https://docs.google.com/spreadsheets/d/1gF7RJpRnL-1oyjyeWxs5SFWEH7y8ahOZsQlyp2A2e-A/edit?usp=s"&amp;"haring"",""อุดรธานี!L385"")+IMPORTRANGE(""https://docs.google.com/spreadsheets/d/1kfLP0j3INXRa8bTDpcEmoWewMBV61jlFlfzczfjWIgc/edit?usp=sharing"",""อุบลราชธานี!L385"")"),0)</f>
        <v>0</v>
      </c>
      <c r="M385" s="59">
        <f ca="1">IFERROR(__xludf.DUMMYFUNCTION("IMPORTRANGE(""https://docs.google.com/spreadsheets/d/1yhBcrRPreicbMKl9Bu_Snb2-OcQAF62RKfhTLhJ2eAA/edit?usp=sharing"",""กาฬสินธุ์!M385"")+IMPORTRANGE(""https://docs.google.com/spreadsheets/d/1aHkj4IaQMThhwWwevcOymEh837vdxeC_PycurhTbGFA/edit?usp=sharing"","&amp;"""ขอนแก่น!M385"")+IMPORTRANGE(""https://docs.google.com/spreadsheets/d/1FvTu2DsIWUjP6WCWra38Bkj_oOl_sOMf14r5Fg5srxU/edit?usp=sharing"",""ชัยภูมิ!M385"")+IMPORTRANGE(""https://docs.google.com/spreadsheets/d/1XVB7oCJ3pr-vBUdflwPQ8Z2LlzhnCvZaaYjAfP-647E/edit"&amp;"?usp=sharing"",""นครพนม!M385"")+IMPORTRANGE(""https://docs.google.com/spreadsheets/d/1Mnpb-8PYAgn85W6KOTD40hc_Xc55CaLfHoGAbrZ8tls/edit?usp=sharing"",""นครราชสีมา!M385"")+IMPORTRANGE(""https://docs.google.com/spreadsheets/d/1xoDLGBv9CYbyosIhki0kTq6IpYNj-gp"&amp;"jxfobnaDiut0/edit?usp=sharing"",""บึงกาฬ!M385"")+IMPORTRANGE(""https://docs.google.com/spreadsheets/d/1MMPq-JyI6DSgQETxuSiXkesP-P7JHuemnE6QJIa-Nlw/edit?usp=sharing"",""บุรีรัมย์!M385"")+IMPORTRANGE(""https://docs.google.com/spreadsheets/d/1l6IZ8xUPgMrESzc"&amp;"TYwhA1k_tPjeQjJPTqlm8Gd9eU5g/edit?usp=sharing"",""มหาสารคาม!M385"")+IMPORTRANGE(""https://docs.google.com/spreadsheets/d/1uB74YLqNjWX6FObjekfB2NtSYigTQyR2rq9u4Ub2Sq4/edit?usp=sharing"",""มุกดาหาร!M385"")+IMPORTRANGE(""https://docs.google.com/spreadsheets/"&amp;"d/1NexK3geCPxCTO1fzNF8dPec7yZyUx3OaWkFBC9HsQOo/edit?usp=sharing"",""ยโสธร!M385"")+IMPORTRANGE(""https://docs.google.com/spreadsheets/d/1v_cJrbBlyqmnHPReHk44g9NrMRdENNlSy_E_c5M9fIg/edit?usp=sharing"",""ร้อยเอ็ด!M385"")+IMPORTRANGE(""https://docs.google.com"&amp;"/spreadsheets/d/1Ul4RCpCX66NxYADU1QpwAPjOmBzW64SsT11s1wzXw_c/edit?usp=sharing"",""เลย!M385"")+IMPORTRANGE(""https://docs.google.com/spreadsheets/d/1bRrNKwbHDVktQG10isr5vbWRtt5spIZPpkOSWgbT5ug/edit?usp=sharing"",""ศรีสะเกษ!M385"")+IMPORTRANGE(""https://doc"&amp;"s.google.com/spreadsheets/d/17P34_Ow5kFBfdQD0qspb2UuPX5zpi6WMrQzslghyvrI/edit?usp=sharing"",""สกลนคร!M385"")+IMPORTRANGE(""https://docs.google.com/spreadsheets/d/1yswqbM3-AEpThF3ZSUa1AcmHnmRTF1vlJ1CZGcJ8YuU/edit?usp=sharing"",""สุรินทร์!M385"")+IMPORTRANG"&amp;"E(""https://docs.google.com/spreadsheets/d/13JHU_EFbsQOUQ0JSQ3dWy1VTRosIWcDq6Nc99z2qzdc/edit?usp=sharing"",""หนองคาย!M385"")+IMPORTRANGE(""https://docs.google.com/spreadsheets/d/1Hx73zIEgVdDZZaYSTc46Dqv64atFhpr3GelxLbaIN8A/edit?usp=sharing"",""หนองบัวลำภู"&amp;"!M385"")+IMPORTRANGE(""https://docs.google.com/spreadsheets/d/1lFxr3ctmjFN90yc-xV6jrQ9Ty8BKYVBWnAZ15wcNIJc/edit?usp=sharing"",""อำนาจเจริญ!M385"")+IMPORTRANGE(""https://docs.google.com/spreadsheets/d/1gF7RJpRnL-1oyjyeWxs5SFWEH7y8ahOZsQlyp2A2e-A/edit?usp=s"&amp;"haring"",""อุดรธานี!M385"")+IMPORTRANGE(""https://docs.google.com/spreadsheets/d/1kfLP0j3INXRa8bTDpcEmoWewMBV61jlFlfzczfjWIgc/edit?usp=sharing"",""อุบลราชธานี!M385"")"),0)</f>
        <v>0</v>
      </c>
      <c r="N385" s="59">
        <f ca="1">IFERROR(__xludf.DUMMYFUNCTION("IMPORTRANGE(""https://docs.google.com/spreadsheets/d/1yhBcrRPreicbMKl9Bu_Snb2-OcQAF62RKfhTLhJ2eAA/edit?usp=sharing"",""กาฬสินธุ์!N385"")+IMPORTRANGE(""https://docs.google.com/spreadsheets/d/1aHkj4IaQMThhwWwevcOymEh837vdxeC_PycurhTbGFA/edit?usp=sharing"","&amp;"""ขอนแก่น!N385"")+IMPORTRANGE(""https://docs.google.com/spreadsheets/d/1FvTu2DsIWUjP6WCWra38Bkj_oOl_sOMf14r5Fg5srxU/edit?usp=sharing"",""ชัยภูมิ!N385"")+IMPORTRANGE(""https://docs.google.com/spreadsheets/d/1XVB7oCJ3pr-vBUdflwPQ8Z2LlzhnCvZaaYjAfP-647E/edit"&amp;"?usp=sharing"",""นครพนม!N385"")+IMPORTRANGE(""https://docs.google.com/spreadsheets/d/1Mnpb-8PYAgn85W6KOTD40hc_Xc55CaLfHoGAbrZ8tls/edit?usp=sharing"",""นครราชสีมา!N385"")+IMPORTRANGE(""https://docs.google.com/spreadsheets/d/1xoDLGBv9CYbyosIhki0kTq6IpYNj-gp"&amp;"jxfobnaDiut0/edit?usp=sharing"",""บึงกาฬ!N385"")+IMPORTRANGE(""https://docs.google.com/spreadsheets/d/1MMPq-JyI6DSgQETxuSiXkesP-P7JHuemnE6QJIa-Nlw/edit?usp=sharing"",""บุรีรัมย์!N385"")+IMPORTRANGE(""https://docs.google.com/spreadsheets/d/1l6IZ8xUPgMrESzc"&amp;"TYwhA1k_tPjeQjJPTqlm8Gd9eU5g/edit?usp=sharing"",""มหาสารคาม!N385"")+IMPORTRANGE(""https://docs.google.com/spreadsheets/d/1uB74YLqNjWX6FObjekfB2NtSYigTQyR2rq9u4Ub2Sq4/edit?usp=sharing"",""มุกดาหาร!N385"")+IMPORTRANGE(""https://docs.google.com/spreadsheets/"&amp;"d/1NexK3geCPxCTO1fzNF8dPec7yZyUx3OaWkFBC9HsQOo/edit?usp=sharing"",""ยโสธร!N385"")+IMPORTRANGE(""https://docs.google.com/spreadsheets/d/1v_cJrbBlyqmnHPReHk44g9NrMRdENNlSy_E_c5M9fIg/edit?usp=sharing"",""ร้อยเอ็ด!N385"")+IMPORTRANGE(""https://docs.google.com"&amp;"/spreadsheets/d/1Ul4RCpCX66NxYADU1QpwAPjOmBzW64SsT11s1wzXw_c/edit?usp=sharing"",""เลย!N385"")+IMPORTRANGE(""https://docs.google.com/spreadsheets/d/1bRrNKwbHDVktQG10isr5vbWRtt5spIZPpkOSWgbT5ug/edit?usp=sharing"",""ศรีสะเกษ!N385"")+IMPORTRANGE(""https://doc"&amp;"s.google.com/spreadsheets/d/17P34_Ow5kFBfdQD0qspb2UuPX5zpi6WMrQzslghyvrI/edit?usp=sharing"",""สกลนคร!N385"")+IMPORTRANGE(""https://docs.google.com/spreadsheets/d/1yswqbM3-AEpThF3ZSUa1AcmHnmRTF1vlJ1CZGcJ8YuU/edit?usp=sharing"",""สุรินทร์!N385"")+IMPORTRANG"&amp;"E(""https://docs.google.com/spreadsheets/d/13JHU_EFbsQOUQ0JSQ3dWy1VTRosIWcDq6Nc99z2qzdc/edit?usp=sharing"",""หนองคาย!N385"")+IMPORTRANGE(""https://docs.google.com/spreadsheets/d/1Hx73zIEgVdDZZaYSTc46Dqv64atFhpr3GelxLbaIN8A/edit?usp=sharing"",""หนองบัวลำภู"&amp;"!N385"")+IMPORTRANGE(""https://docs.google.com/spreadsheets/d/1lFxr3ctmjFN90yc-xV6jrQ9Ty8BKYVBWnAZ15wcNIJc/edit?usp=sharing"",""อำนาจเจริญ!N385"")+IMPORTRANGE(""https://docs.google.com/spreadsheets/d/1gF7RJpRnL-1oyjyeWxs5SFWEH7y8ahOZsQlyp2A2e-A/edit?usp=s"&amp;"haring"",""อุดรธานี!N385"")+IMPORTRANGE(""https://docs.google.com/spreadsheets/d/1kfLP0j3INXRa8bTDpcEmoWewMBV61jlFlfzczfjWIgc/edit?usp=sharing"",""อุบลราชธานี!N385"")"),0)</f>
        <v>0</v>
      </c>
      <c r="O385" s="59">
        <f t="shared" ca="1" si="162"/>
        <v>0</v>
      </c>
      <c r="P385" s="59">
        <f t="shared" ca="1" si="163"/>
        <v>0</v>
      </c>
    </row>
    <row r="386" spans="1:16" ht="19.5" x14ac:dyDescent="0.3">
      <c r="A386" s="167"/>
      <c r="B386" s="168"/>
      <c r="C386" s="158" t="s">
        <v>16</v>
      </c>
      <c r="D386" s="169" t="s">
        <v>36</v>
      </c>
      <c r="E386" s="170"/>
      <c r="F386" s="170"/>
      <c r="G386" s="171"/>
      <c r="H386" s="172"/>
      <c r="I386" s="164"/>
      <c r="J386" s="57"/>
      <c r="K386" s="58"/>
      <c r="L386" s="58"/>
      <c r="M386" s="58"/>
      <c r="N386" s="58"/>
      <c r="O386" s="165"/>
      <c r="P386" s="165"/>
    </row>
    <row r="387" spans="1:16" ht="18.75" x14ac:dyDescent="0.25">
      <c r="A387" s="274"/>
      <c r="B387" s="53"/>
      <c r="C387" s="278"/>
      <c r="D387" s="193" t="s">
        <v>149</v>
      </c>
      <c r="E387" s="168"/>
      <c r="F387" s="53"/>
      <c r="G387" s="55"/>
      <c r="H387" s="277" t="s">
        <v>9</v>
      </c>
      <c r="I387" s="194">
        <v>0</v>
      </c>
      <c r="J387" s="194">
        <v>0</v>
      </c>
      <c r="K387" s="59">
        <f t="shared" ref="K387:K388" si="168">IF(I387&gt;0,J387*100/I387,0)</f>
        <v>0</v>
      </c>
      <c r="L387" s="58"/>
      <c r="M387" s="58"/>
      <c r="N387" s="58"/>
      <c r="O387" s="58"/>
      <c r="P387" s="58"/>
    </row>
    <row r="388" spans="1:16" ht="18.75" x14ac:dyDescent="0.25">
      <c r="A388" s="479"/>
      <c r="B388" s="71"/>
      <c r="C388" s="480"/>
      <c r="D388" s="481" t="s">
        <v>150</v>
      </c>
      <c r="E388" s="482"/>
      <c r="F388" s="71"/>
      <c r="G388" s="73"/>
      <c r="H388" s="483" t="s">
        <v>54</v>
      </c>
      <c r="I388" s="484">
        <v>0</v>
      </c>
      <c r="J388" s="484">
        <v>0</v>
      </c>
      <c r="K388" s="77">
        <f t="shared" si="168"/>
        <v>0</v>
      </c>
      <c r="L388" s="76"/>
      <c r="M388" s="76"/>
      <c r="N388" s="76"/>
      <c r="O388" s="76"/>
      <c r="P388" s="76"/>
    </row>
    <row r="389" spans="1:16" ht="12.75" x14ac:dyDescent="0.2">
      <c r="A389" s="485"/>
      <c r="B389" s="485"/>
      <c r="C389" s="485"/>
      <c r="D389" s="485"/>
      <c r="E389" s="485"/>
      <c r="F389" s="485"/>
      <c r="G389" s="485"/>
      <c r="H389" s="485"/>
      <c r="I389" s="485"/>
      <c r="J389" s="485"/>
      <c r="K389" s="485"/>
      <c r="L389" s="485"/>
      <c r="M389" s="485"/>
      <c r="N389" s="485"/>
      <c r="O389" s="485"/>
      <c r="P389" s="485"/>
    </row>
    <row r="390" spans="1:16" ht="16.5" x14ac:dyDescent="0.25">
      <c r="A390" s="486" t="s">
        <v>151</v>
      </c>
      <c r="B390" s="485"/>
      <c r="C390" s="485"/>
      <c r="D390" s="485"/>
      <c r="E390" s="485"/>
      <c r="F390" s="485"/>
      <c r="G390" s="485"/>
      <c r="H390" s="485"/>
      <c r="I390" s="485"/>
      <c r="J390" s="485"/>
      <c r="K390" s="485"/>
      <c r="L390" s="485"/>
      <c r="M390" s="485"/>
      <c r="N390" s="485"/>
      <c r="O390" s="485"/>
      <c r="P390" s="485"/>
    </row>
    <row r="391" spans="1:16" ht="16.5" x14ac:dyDescent="0.25">
      <c r="A391" s="487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485"/>
      <c r="C391" s="485"/>
      <c r="D391" s="485"/>
      <c r="E391" s="485"/>
      <c r="F391" s="485"/>
      <c r="G391" s="485"/>
      <c r="H391" s="485"/>
      <c r="I391" s="485"/>
      <c r="J391" s="485"/>
      <c r="K391" s="485"/>
      <c r="L391" s="485"/>
      <c r="M391" s="485"/>
      <c r="N391" s="485"/>
      <c r="O391" s="485"/>
      <c r="P391" s="485"/>
    </row>
    <row r="392" spans="1:16" ht="12.75" x14ac:dyDescent="0.2">
      <c r="A392" s="485"/>
      <c r="B392" s="485"/>
      <c r="C392" s="485"/>
      <c r="D392" s="485"/>
      <c r="E392" s="485"/>
      <c r="F392" s="485"/>
      <c r="G392" s="485"/>
      <c r="H392" s="485"/>
      <c r="I392" s="485"/>
      <c r="J392" s="485"/>
      <c r="K392" s="485"/>
      <c r="L392" s="485"/>
      <c r="M392" s="485"/>
      <c r="N392" s="485"/>
      <c r="O392" s="485"/>
      <c r="P392" s="485"/>
    </row>
    <row r="393" spans="1:16" ht="12.75" x14ac:dyDescent="0.2">
      <c r="A393" s="485"/>
      <c r="B393" s="485"/>
      <c r="C393" s="485"/>
      <c r="D393" s="485"/>
      <c r="E393" s="485"/>
      <c r="F393" s="485"/>
      <c r="G393" s="485"/>
      <c r="H393" s="485"/>
      <c r="I393" s="485"/>
      <c r="J393" s="485"/>
      <c r="K393" s="485"/>
      <c r="L393" s="485"/>
      <c r="M393" s="485"/>
      <c r="N393" s="485"/>
      <c r="O393" s="485"/>
      <c r="P393" s="485"/>
    </row>
    <row r="394" spans="1:16" ht="12.75" x14ac:dyDescent="0.2">
      <c r="A394" s="485"/>
      <c r="B394" s="485"/>
      <c r="C394" s="485"/>
      <c r="D394" s="485"/>
      <c r="E394" s="485"/>
      <c r="F394" s="485"/>
      <c r="G394" s="485"/>
      <c r="H394" s="485"/>
      <c r="I394" s="485"/>
      <c r="J394" s="485"/>
      <c r="K394" s="485"/>
      <c r="L394" s="485"/>
      <c r="M394" s="485"/>
      <c r="N394" s="485"/>
      <c r="O394" s="485"/>
      <c r="P394" s="485"/>
    </row>
    <row r="395" spans="1:16" ht="12.75" x14ac:dyDescent="0.2">
      <c r="A395" s="485"/>
      <c r="B395" s="485"/>
      <c r="C395" s="485"/>
      <c r="D395" s="485"/>
      <c r="E395" s="485"/>
      <c r="F395" s="485"/>
      <c r="G395" s="485"/>
      <c r="H395" s="485"/>
      <c r="I395" s="485"/>
      <c r="J395" s="485"/>
      <c r="K395" s="485"/>
      <c r="L395" s="485"/>
      <c r="M395" s="485"/>
      <c r="N395" s="485"/>
      <c r="O395" s="485"/>
      <c r="P395" s="485"/>
    </row>
    <row r="396" spans="1:16" ht="12.75" x14ac:dyDescent="0.2">
      <c r="A396" s="485"/>
      <c r="B396" s="485"/>
      <c r="C396" s="485"/>
      <c r="D396" s="485"/>
      <c r="E396" s="485"/>
      <c r="F396" s="485"/>
      <c r="G396" s="485"/>
      <c r="H396" s="485"/>
      <c r="I396" s="485"/>
      <c r="J396" s="485"/>
      <c r="K396" s="485"/>
      <c r="L396" s="485"/>
      <c r="M396" s="485"/>
      <c r="N396" s="485"/>
      <c r="O396" s="485"/>
      <c r="P396" s="485"/>
    </row>
    <row r="397" spans="1:16" ht="12.75" x14ac:dyDescent="0.2">
      <c r="A397" s="485"/>
      <c r="B397" s="485"/>
      <c r="C397" s="485"/>
      <c r="D397" s="485"/>
      <c r="E397" s="485"/>
      <c r="F397" s="485"/>
      <c r="G397" s="485"/>
      <c r="H397" s="485"/>
      <c r="I397" s="485"/>
      <c r="J397" s="485"/>
      <c r="K397" s="485"/>
      <c r="L397" s="485"/>
      <c r="M397" s="485"/>
      <c r="N397" s="485"/>
      <c r="O397" s="485"/>
      <c r="P397" s="485"/>
    </row>
    <row r="398" spans="1:16" ht="12.75" x14ac:dyDescent="0.2">
      <c r="A398" s="485"/>
      <c r="B398" s="485"/>
      <c r="C398" s="485"/>
      <c r="D398" s="485"/>
      <c r="E398" s="485"/>
      <c r="F398" s="485"/>
      <c r="G398" s="485"/>
      <c r="H398" s="485"/>
      <c r="I398" s="485"/>
      <c r="J398" s="485"/>
      <c r="K398" s="485"/>
      <c r="L398" s="485"/>
      <c r="M398" s="485"/>
      <c r="N398" s="485"/>
      <c r="O398" s="485"/>
      <c r="P398" s="485"/>
    </row>
    <row r="399" spans="1:16" ht="12.75" x14ac:dyDescent="0.2">
      <c r="A399" s="485"/>
      <c r="B399" s="485"/>
      <c r="C399" s="485"/>
      <c r="D399" s="485"/>
      <c r="E399" s="485"/>
      <c r="F399" s="485"/>
      <c r="G399" s="485"/>
      <c r="H399" s="485"/>
      <c r="I399" s="485"/>
      <c r="J399" s="485"/>
      <c r="K399" s="485"/>
      <c r="L399" s="485"/>
      <c r="M399" s="485"/>
      <c r="N399" s="485"/>
      <c r="O399" s="485"/>
      <c r="P399" s="485"/>
    </row>
    <row r="400" spans="1:16" ht="12.75" x14ac:dyDescent="0.2">
      <c r="A400" s="485"/>
      <c r="B400" s="485"/>
      <c r="C400" s="485"/>
      <c r="D400" s="485"/>
      <c r="E400" s="485"/>
      <c r="F400" s="485"/>
      <c r="G400" s="485"/>
      <c r="H400" s="485"/>
      <c r="I400" s="485"/>
      <c r="J400" s="485"/>
      <c r="K400" s="485"/>
      <c r="L400" s="485"/>
      <c r="M400" s="485"/>
      <c r="N400" s="485"/>
      <c r="O400" s="485"/>
      <c r="P400" s="485"/>
    </row>
    <row r="401" spans="1:16" ht="12.75" x14ac:dyDescent="0.2">
      <c r="A401" s="485"/>
      <c r="B401" s="485"/>
      <c r="C401" s="485"/>
      <c r="D401" s="485"/>
      <c r="E401" s="485"/>
      <c r="F401" s="485"/>
      <c r="G401" s="485"/>
      <c r="H401" s="485"/>
      <c r="I401" s="485"/>
      <c r="J401" s="485"/>
      <c r="K401" s="485"/>
      <c r="L401" s="485"/>
      <c r="M401" s="485"/>
      <c r="N401" s="485"/>
      <c r="O401" s="485"/>
      <c r="P401" s="485"/>
    </row>
    <row r="402" spans="1:16" ht="12.75" x14ac:dyDescent="0.2">
      <c r="A402" s="485"/>
      <c r="B402" s="485"/>
      <c r="C402" s="485"/>
      <c r="D402" s="485"/>
      <c r="E402" s="485"/>
      <c r="F402" s="485"/>
      <c r="G402" s="485"/>
      <c r="H402" s="485"/>
      <c r="I402" s="485"/>
      <c r="J402" s="485"/>
      <c r="K402" s="485"/>
      <c r="L402" s="485"/>
      <c r="M402" s="485"/>
      <c r="N402" s="485"/>
      <c r="O402" s="485"/>
      <c r="P402" s="485"/>
    </row>
    <row r="403" spans="1:16" ht="12.75" x14ac:dyDescent="0.2">
      <c r="A403" s="485"/>
      <c r="B403" s="485"/>
      <c r="C403" s="485"/>
      <c r="D403" s="485"/>
      <c r="E403" s="485"/>
      <c r="F403" s="485"/>
      <c r="G403" s="485"/>
      <c r="H403" s="485"/>
      <c r="I403" s="485"/>
      <c r="J403" s="485"/>
      <c r="K403" s="485"/>
      <c r="L403" s="485"/>
      <c r="M403" s="485"/>
      <c r="N403" s="485"/>
      <c r="O403" s="485"/>
      <c r="P403" s="485"/>
    </row>
    <row r="404" spans="1:16" ht="12.75" x14ac:dyDescent="0.2">
      <c r="A404" s="485"/>
      <c r="B404" s="485"/>
      <c r="C404" s="485"/>
      <c r="D404" s="485"/>
      <c r="E404" s="485"/>
      <c r="F404" s="485"/>
      <c r="G404" s="485"/>
      <c r="H404" s="485"/>
      <c r="I404" s="485"/>
      <c r="J404" s="485"/>
      <c r="K404" s="485"/>
      <c r="L404" s="485"/>
      <c r="M404" s="485"/>
      <c r="N404" s="485"/>
      <c r="O404" s="485"/>
      <c r="P404" s="485"/>
    </row>
    <row r="405" spans="1:16" ht="12.75" x14ac:dyDescent="0.2">
      <c r="A405" s="485"/>
      <c r="B405" s="485"/>
      <c r="C405" s="485"/>
      <c r="D405" s="485"/>
      <c r="E405" s="485"/>
      <c r="F405" s="485"/>
      <c r="G405" s="485"/>
      <c r="H405" s="485"/>
      <c r="I405" s="485"/>
      <c r="J405" s="485"/>
      <c r="K405" s="485"/>
      <c r="L405" s="485"/>
      <c r="M405" s="485"/>
      <c r="N405" s="485"/>
      <c r="O405" s="485"/>
      <c r="P405" s="485"/>
    </row>
    <row r="406" spans="1:16" ht="12.75" x14ac:dyDescent="0.2">
      <c r="A406" s="485"/>
      <c r="B406" s="485"/>
      <c r="C406" s="485"/>
      <c r="D406" s="485"/>
      <c r="E406" s="485"/>
      <c r="F406" s="485"/>
      <c r="G406" s="485"/>
      <c r="H406" s="485"/>
      <c r="I406" s="485"/>
      <c r="J406" s="485"/>
      <c r="K406" s="485"/>
      <c r="L406" s="485"/>
      <c r="M406" s="485"/>
      <c r="N406" s="485"/>
      <c r="O406" s="485"/>
      <c r="P406" s="485"/>
    </row>
    <row r="407" spans="1:16" ht="12.75" x14ac:dyDescent="0.2">
      <c r="A407" s="485"/>
      <c r="B407" s="485"/>
      <c r="C407" s="485"/>
      <c r="D407" s="485"/>
      <c r="E407" s="485"/>
      <c r="F407" s="485"/>
      <c r="G407" s="485"/>
      <c r="H407" s="485"/>
      <c r="I407" s="485"/>
      <c r="J407" s="485"/>
      <c r="K407" s="485"/>
      <c r="L407" s="485"/>
      <c r="M407" s="485"/>
      <c r="N407" s="485"/>
      <c r="O407" s="485"/>
      <c r="P407" s="485"/>
    </row>
    <row r="408" spans="1:16" ht="12.75" x14ac:dyDescent="0.2">
      <c r="A408" s="485"/>
      <c r="B408" s="485"/>
      <c r="C408" s="485"/>
      <c r="D408" s="485"/>
      <c r="E408" s="485"/>
      <c r="F408" s="485"/>
      <c r="G408" s="485"/>
      <c r="H408" s="485"/>
      <c r="I408" s="485"/>
      <c r="J408" s="485"/>
      <c r="K408" s="485"/>
      <c r="L408" s="485"/>
      <c r="M408" s="485"/>
      <c r="N408" s="485"/>
      <c r="O408" s="485"/>
      <c r="P408" s="485"/>
    </row>
    <row r="409" spans="1:16" ht="12.75" x14ac:dyDescent="0.2">
      <c r="A409" s="485"/>
      <c r="B409" s="485"/>
      <c r="C409" s="485"/>
      <c r="D409" s="485"/>
      <c r="E409" s="485"/>
      <c r="F409" s="485"/>
      <c r="G409" s="485"/>
      <c r="H409" s="485"/>
      <c r="I409" s="485"/>
      <c r="J409" s="485"/>
      <c r="K409" s="485"/>
      <c r="L409" s="485"/>
      <c r="M409" s="485"/>
      <c r="N409" s="485"/>
      <c r="O409" s="485"/>
      <c r="P409" s="485"/>
    </row>
    <row r="410" spans="1:16" ht="12.75" x14ac:dyDescent="0.2">
      <c r="A410" s="485"/>
      <c r="B410" s="485"/>
      <c r="C410" s="485"/>
      <c r="D410" s="485"/>
      <c r="E410" s="485"/>
      <c r="F410" s="485"/>
      <c r="G410" s="485"/>
      <c r="H410" s="485"/>
      <c r="I410" s="485"/>
      <c r="J410" s="485"/>
      <c r="K410" s="485"/>
      <c r="L410" s="485"/>
      <c r="M410" s="485"/>
      <c r="N410" s="485"/>
      <c r="O410" s="485"/>
      <c r="P410" s="485"/>
    </row>
    <row r="411" spans="1:16" ht="12.75" x14ac:dyDescent="0.2">
      <c r="A411" s="485"/>
      <c r="B411" s="485"/>
      <c r="C411" s="485"/>
      <c r="D411" s="485"/>
      <c r="E411" s="485"/>
      <c r="F411" s="485"/>
      <c r="G411" s="485"/>
      <c r="H411" s="485"/>
      <c r="I411" s="485"/>
      <c r="J411" s="485"/>
      <c r="K411" s="485"/>
      <c r="L411" s="485"/>
      <c r="M411" s="485"/>
      <c r="N411" s="485"/>
      <c r="O411" s="485"/>
      <c r="P411" s="485"/>
    </row>
    <row r="412" spans="1:16" ht="12.75" x14ac:dyDescent="0.2">
      <c r="A412" s="485"/>
      <c r="B412" s="485"/>
      <c r="C412" s="485"/>
      <c r="D412" s="485"/>
      <c r="E412" s="485"/>
      <c r="F412" s="485"/>
      <c r="G412" s="485"/>
      <c r="H412" s="485"/>
      <c r="I412" s="485"/>
      <c r="J412" s="485"/>
      <c r="K412" s="485"/>
      <c r="L412" s="485"/>
      <c r="M412" s="485"/>
      <c r="N412" s="485"/>
      <c r="O412" s="485"/>
      <c r="P412" s="485"/>
    </row>
    <row r="413" spans="1:16" ht="12.75" x14ac:dyDescent="0.2">
      <c r="A413" s="485"/>
      <c r="B413" s="485"/>
      <c r="C413" s="485"/>
      <c r="D413" s="485"/>
      <c r="E413" s="485"/>
      <c r="F413" s="485"/>
      <c r="G413" s="485"/>
      <c r="H413" s="485"/>
      <c r="I413" s="485"/>
      <c r="J413" s="485"/>
      <c r="K413" s="485"/>
      <c r="L413" s="485"/>
      <c r="M413" s="485"/>
      <c r="N413" s="485"/>
      <c r="O413" s="485"/>
      <c r="P413" s="485"/>
    </row>
    <row r="414" spans="1:16" ht="12.75" x14ac:dyDescent="0.2">
      <c r="A414" s="485"/>
      <c r="B414" s="485"/>
      <c r="C414" s="485"/>
      <c r="D414" s="485"/>
      <c r="E414" s="485"/>
      <c r="F414" s="485"/>
      <c r="G414" s="485"/>
      <c r="H414" s="485"/>
      <c r="I414" s="485"/>
      <c r="J414" s="485"/>
      <c r="K414" s="485"/>
      <c r="L414" s="485"/>
      <c r="M414" s="485"/>
      <c r="N414" s="485"/>
      <c r="O414" s="485"/>
      <c r="P414" s="485"/>
    </row>
    <row r="415" spans="1:16" ht="12.75" x14ac:dyDescent="0.2">
      <c r="A415" s="485"/>
      <c r="B415" s="485"/>
      <c r="C415" s="485"/>
      <c r="D415" s="485"/>
      <c r="E415" s="485"/>
      <c r="F415" s="485"/>
      <c r="G415" s="485"/>
      <c r="H415" s="485"/>
      <c r="I415" s="485"/>
      <c r="J415" s="485"/>
      <c r="K415" s="485"/>
      <c r="L415" s="485"/>
      <c r="M415" s="485"/>
      <c r="N415" s="485"/>
      <c r="O415" s="485"/>
      <c r="P415" s="485"/>
    </row>
    <row r="416" spans="1:16" ht="12.75" x14ac:dyDescent="0.2">
      <c r="A416" s="485"/>
      <c r="B416" s="485"/>
      <c r="C416" s="485"/>
      <c r="D416" s="485"/>
      <c r="E416" s="485"/>
      <c r="F416" s="485"/>
      <c r="G416" s="485"/>
      <c r="H416" s="485"/>
      <c r="I416" s="485"/>
      <c r="J416" s="485"/>
      <c r="K416" s="485"/>
      <c r="L416" s="485"/>
      <c r="M416" s="485"/>
      <c r="N416" s="485"/>
      <c r="O416" s="485"/>
      <c r="P416" s="485"/>
    </row>
    <row r="417" spans="1:16" ht="12.75" x14ac:dyDescent="0.2">
      <c r="A417" s="485"/>
      <c r="B417" s="485"/>
      <c r="C417" s="485"/>
      <c r="D417" s="485"/>
      <c r="E417" s="485"/>
      <c r="F417" s="485"/>
      <c r="G417" s="485"/>
      <c r="H417" s="485"/>
      <c r="I417" s="485"/>
      <c r="J417" s="485"/>
      <c r="K417" s="485"/>
      <c r="L417" s="485"/>
      <c r="M417" s="485"/>
      <c r="N417" s="485"/>
      <c r="O417" s="485"/>
      <c r="P417" s="485"/>
    </row>
    <row r="418" spans="1:16" ht="12.75" x14ac:dyDescent="0.2">
      <c r="A418" s="485"/>
      <c r="B418" s="485"/>
      <c r="C418" s="485"/>
      <c r="D418" s="485"/>
      <c r="E418" s="485"/>
      <c r="F418" s="485"/>
      <c r="G418" s="485"/>
      <c r="H418" s="485"/>
      <c r="I418" s="485"/>
      <c r="J418" s="485"/>
      <c r="K418" s="485"/>
      <c r="L418" s="485"/>
      <c r="M418" s="485"/>
      <c r="N418" s="485"/>
      <c r="O418" s="485"/>
      <c r="P418" s="485"/>
    </row>
    <row r="419" spans="1:16" ht="12.75" x14ac:dyDescent="0.2">
      <c r="A419" s="485"/>
      <c r="B419" s="485"/>
      <c r="C419" s="485"/>
      <c r="D419" s="485"/>
      <c r="E419" s="485"/>
      <c r="F419" s="485"/>
      <c r="G419" s="485"/>
      <c r="H419" s="485"/>
      <c r="I419" s="485"/>
      <c r="J419" s="485"/>
      <c r="K419" s="485"/>
      <c r="L419" s="485"/>
      <c r="M419" s="485"/>
      <c r="N419" s="485"/>
      <c r="O419" s="485"/>
      <c r="P419" s="485"/>
    </row>
    <row r="420" spans="1:16" ht="12.75" x14ac:dyDescent="0.2">
      <c r="A420" s="485"/>
      <c r="B420" s="485"/>
      <c r="C420" s="485"/>
      <c r="D420" s="485"/>
      <c r="E420" s="485"/>
      <c r="F420" s="485"/>
      <c r="G420" s="485"/>
      <c r="H420" s="485"/>
      <c r="I420" s="485"/>
      <c r="J420" s="485"/>
      <c r="K420" s="485"/>
      <c r="L420" s="485"/>
      <c r="M420" s="485"/>
      <c r="N420" s="485"/>
      <c r="O420" s="485"/>
      <c r="P420" s="485"/>
    </row>
    <row r="421" spans="1:16" ht="12.75" x14ac:dyDescent="0.2">
      <c r="A421" s="485"/>
      <c r="B421" s="485"/>
      <c r="C421" s="485"/>
      <c r="D421" s="485"/>
      <c r="E421" s="485"/>
      <c r="F421" s="485"/>
      <c r="G421" s="485"/>
      <c r="H421" s="485"/>
      <c r="I421" s="485"/>
      <c r="J421" s="485"/>
      <c r="K421" s="485"/>
      <c r="L421" s="485"/>
      <c r="M421" s="485"/>
      <c r="N421" s="485"/>
      <c r="O421" s="485"/>
      <c r="P421" s="485"/>
    </row>
    <row r="422" spans="1:16" ht="12.75" x14ac:dyDescent="0.2">
      <c r="A422" s="485"/>
      <c r="B422" s="485"/>
      <c r="C422" s="485"/>
      <c r="D422" s="485"/>
      <c r="E422" s="485"/>
      <c r="F422" s="485"/>
      <c r="G422" s="485"/>
      <c r="H422" s="485"/>
      <c r="I422" s="485"/>
      <c r="J422" s="485"/>
      <c r="K422" s="485"/>
      <c r="L422" s="485"/>
      <c r="M422" s="485"/>
      <c r="N422" s="485"/>
      <c r="O422" s="485"/>
      <c r="P422" s="485"/>
    </row>
    <row r="423" spans="1:16" ht="12.75" x14ac:dyDescent="0.2">
      <c r="A423" s="485"/>
      <c r="B423" s="485"/>
      <c r="C423" s="485"/>
      <c r="D423" s="485"/>
      <c r="E423" s="485"/>
      <c r="F423" s="485"/>
      <c r="G423" s="485"/>
      <c r="H423" s="485"/>
      <c r="I423" s="485"/>
      <c r="J423" s="485"/>
      <c r="K423" s="485"/>
      <c r="L423" s="485"/>
      <c r="M423" s="485"/>
      <c r="N423" s="485"/>
      <c r="O423" s="485"/>
      <c r="P423" s="485"/>
    </row>
    <row r="424" spans="1:16" ht="12.75" x14ac:dyDescent="0.2">
      <c r="A424" s="485"/>
      <c r="B424" s="485"/>
      <c r="C424" s="485"/>
      <c r="D424" s="485"/>
      <c r="E424" s="485"/>
      <c r="F424" s="485"/>
      <c r="G424" s="485"/>
      <c r="H424" s="485"/>
      <c r="I424" s="485"/>
      <c r="J424" s="485"/>
      <c r="K424" s="485"/>
      <c r="L424" s="485"/>
      <c r="M424" s="485"/>
      <c r="N424" s="485"/>
      <c r="O424" s="485"/>
      <c r="P424" s="485"/>
    </row>
    <row r="425" spans="1:16" ht="12.75" x14ac:dyDescent="0.2">
      <c r="A425" s="485"/>
      <c r="B425" s="485"/>
      <c r="C425" s="485"/>
      <c r="D425" s="485"/>
      <c r="E425" s="485"/>
      <c r="F425" s="485"/>
      <c r="G425" s="485"/>
      <c r="H425" s="485"/>
      <c r="I425" s="485"/>
      <c r="J425" s="485"/>
      <c r="K425" s="485"/>
      <c r="L425" s="485"/>
      <c r="M425" s="485"/>
      <c r="N425" s="485"/>
      <c r="O425" s="485"/>
      <c r="P425" s="485"/>
    </row>
    <row r="426" spans="1:16" ht="12.75" x14ac:dyDescent="0.2">
      <c r="A426" s="485"/>
      <c r="B426" s="485"/>
      <c r="C426" s="485"/>
      <c r="D426" s="485"/>
      <c r="E426" s="485"/>
      <c r="F426" s="485"/>
      <c r="G426" s="485"/>
      <c r="H426" s="485"/>
      <c r="I426" s="485"/>
      <c r="J426" s="485"/>
      <c r="K426" s="485"/>
      <c r="L426" s="485"/>
      <c r="M426" s="485"/>
      <c r="N426" s="485"/>
      <c r="O426" s="485"/>
      <c r="P426" s="485"/>
    </row>
    <row r="427" spans="1:16" ht="12.75" x14ac:dyDescent="0.2">
      <c r="A427" s="485"/>
      <c r="B427" s="485"/>
      <c r="C427" s="485"/>
      <c r="D427" s="485"/>
      <c r="E427" s="485"/>
      <c r="F427" s="485"/>
      <c r="G427" s="485"/>
      <c r="H427" s="485"/>
      <c r="I427" s="485"/>
      <c r="J427" s="485"/>
      <c r="K427" s="485"/>
      <c r="L427" s="485"/>
      <c r="M427" s="485"/>
      <c r="N427" s="485"/>
      <c r="O427" s="485"/>
      <c r="P427" s="485"/>
    </row>
    <row r="428" spans="1:16" ht="12.75" x14ac:dyDescent="0.2">
      <c r="A428" s="485"/>
      <c r="B428" s="485"/>
      <c r="C428" s="485"/>
      <c r="D428" s="485"/>
      <c r="E428" s="485"/>
      <c r="F428" s="485"/>
      <c r="G428" s="485"/>
      <c r="H428" s="485"/>
      <c r="I428" s="485"/>
      <c r="J428" s="485"/>
      <c r="K428" s="485"/>
      <c r="L428" s="485"/>
      <c r="M428" s="485"/>
      <c r="N428" s="485"/>
      <c r="O428" s="485"/>
      <c r="P428" s="485"/>
    </row>
    <row r="429" spans="1:16" ht="12.75" x14ac:dyDescent="0.2">
      <c r="A429" s="485"/>
      <c r="B429" s="485"/>
      <c r="C429" s="485"/>
      <c r="D429" s="485"/>
      <c r="E429" s="485"/>
      <c r="F429" s="485"/>
      <c r="G429" s="485"/>
      <c r="H429" s="485"/>
      <c r="I429" s="485"/>
      <c r="J429" s="485"/>
      <c r="K429" s="485"/>
      <c r="L429" s="485"/>
      <c r="M429" s="485"/>
      <c r="N429" s="485"/>
      <c r="O429" s="485"/>
      <c r="P429" s="485"/>
    </row>
    <row r="430" spans="1:16" ht="12.75" x14ac:dyDescent="0.2">
      <c r="A430" s="485"/>
      <c r="B430" s="485"/>
      <c r="C430" s="485"/>
      <c r="D430" s="485"/>
      <c r="E430" s="485"/>
      <c r="F430" s="485"/>
      <c r="G430" s="485"/>
      <c r="H430" s="485"/>
      <c r="I430" s="485"/>
      <c r="J430" s="485"/>
      <c r="K430" s="485"/>
      <c r="L430" s="485"/>
      <c r="M430" s="485"/>
      <c r="N430" s="485"/>
      <c r="O430" s="485"/>
      <c r="P430" s="485"/>
    </row>
    <row r="431" spans="1:16" ht="12.75" x14ac:dyDescent="0.2">
      <c r="A431" s="485"/>
      <c r="B431" s="485"/>
      <c r="C431" s="485"/>
      <c r="D431" s="485"/>
      <c r="E431" s="485"/>
      <c r="F431" s="485"/>
      <c r="G431" s="485"/>
      <c r="H431" s="485"/>
      <c r="I431" s="485"/>
      <c r="J431" s="485"/>
      <c r="K431" s="485"/>
      <c r="L431" s="485"/>
      <c r="M431" s="485"/>
      <c r="N431" s="485"/>
      <c r="O431" s="485"/>
      <c r="P431" s="485"/>
    </row>
    <row r="432" spans="1:16" ht="12.75" x14ac:dyDescent="0.2">
      <c r="A432" s="485"/>
      <c r="B432" s="485"/>
      <c r="C432" s="485"/>
      <c r="D432" s="485"/>
      <c r="E432" s="485"/>
      <c r="F432" s="485"/>
      <c r="G432" s="485"/>
      <c r="H432" s="485"/>
      <c r="I432" s="485"/>
      <c r="J432" s="485"/>
      <c r="K432" s="485"/>
      <c r="L432" s="485"/>
      <c r="M432" s="485"/>
      <c r="N432" s="485"/>
      <c r="O432" s="485"/>
      <c r="P432" s="485"/>
    </row>
    <row r="433" spans="1:16" ht="12.75" x14ac:dyDescent="0.2">
      <c r="A433" s="485"/>
      <c r="B433" s="485"/>
      <c r="C433" s="485"/>
      <c r="D433" s="485"/>
      <c r="E433" s="485"/>
      <c r="F433" s="485"/>
      <c r="G433" s="485"/>
      <c r="H433" s="485"/>
      <c r="I433" s="485"/>
      <c r="J433" s="485"/>
      <c r="K433" s="485"/>
      <c r="L433" s="485"/>
      <c r="M433" s="485"/>
      <c r="N433" s="485"/>
      <c r="O433" s="485"/>
      <c r="P433" s="485"/>
    </row>
    <row r="434" spans="1:16" ht="12.75" x14ac:dyDescent="0.2">
      <c r="A434" s="485"/>
      <c r="B434" s="485"/>
      <c r="C434" s="485"/>
      <c r="D434" s="485"/>
      <c r="E434" s="485"/>
      <c r="F434" s="485"/>
      <c r="G434" s="485"/>
      <c r="H434" s="485"/>
      <c r="I434" s="485"/>
      <c r="J434" s="485"/>
      <c r="K434" s="485"/>
      <c r="L434" s="485"/>
      <c r="M434" s="485"/>
      <c r="N434" s="485"/>
      <c r="O434" s="485"/>
      <c r="P434" s="485"/>
    </row>
    <row r="435" spans="1:16" ht="12.75" x14ac:dyDescent="0.2">
      <c r="A435" s="485"/>
      <c r="B435" s="485"/>
      <c r="C435" s="485"/>
      <c r="D435" s="485"/>
      <c r="E435" s="485"/>
      <c r="F435" s="485"/>
      <c r="G435" s="485"/>
      <c r="H435" s="485"/>
      <c r="I435" s="485"/>
      <c r="J435" s="485"/>
      <c r="K435" s="485"/>
      <c r="L435" s="485"/>
      <c r="M435" s="485"/>
      <c r="N435" s="485"/>
      <c r="O435" s="485"/>
      <c r="P435" s="485"/>
    </row>
    <row r="436" spans="1:16" ht="12.75" x14ac:dyDescent="0.2">
      <c r="A436" s="485"/>
      <c r="B436" s="485"/>
      <c r="C436" s="485"/>
      <c r="D436" s="485"/>
      <c r="E436" s="485"/>
      <c r="F436" s="485"/>
      <c r="G436" s="485"/>
      <c r="H436" s="485"/>
      <c r="I436" s="485"/>
      <c r="J436" s="485"/>
      <c r="K436" s="485"/>
      <c r="L436" s="485"/>
      <c r="M436" s="485"/>
      <c r="N436" s="485"/>
      <c r="O436" s="485"/>
      <c r="P436" s="485"/>
    </row>
    <row r="437" spans="1:16" ht="12.75" x14ac:dyDescent="0.2">
      <c r="A437" s="485"/>
      <c r="B437" s="485"/>
      <c r="C437" s="485"/>
      <c r="D437" s="485"/>
      <c r="E437" s="485"/>
      <c r="F437" s="485"/>
      <c r="G437" s="485"/>
      <c r="H437" s="485"/>
      <c r="I437" s="485"/>
      <c r="J437" s="485"/>
      <c r="K437" s="485"/>
      <c r="L437" s="485"/>
      <c r="M437" s="485"/>
      <c r="N437" s="485"/>
      <c r="O437" s="485"/>
      <c r="P437" s="485"/>
    </row>
    <row r="438" spans="1:16" ht="12.75" x14ac:dyDescent="0.2">
      <c r="A438" s="485"/>
      <c r="B438" s="485"/>
      <c r="C438" s="485"/>
      <c r="D438" s="485"/>
      <c r="E438" s="485"/>
      <c r="F438" s="485"/>
      <c r="G438" s="485"/>
      <c r="H438" s="485"/>
      <c r="I438" s="485"/>
      <c r="J438" s="485"/>
      <c r="K438" s="485"/>
      <c r="L438" s="485"/>
      <c r="M438" s="485"/>
      <c r="N438" s="485"/>
      <c r="O438" s="485"/>
      <c r="P438" s="485"/>
    </row>
    <row r="439" spans="1:16" ht="12.75" x14ac:dyDescent="0.2">
      <c r="A439" s="485"/>
      <c r="B439" s="485"/>
      <c r="C439" s="485"/>
      <c r="D439" s="485"/>
      <c r="E439" s="485"/>
      <c r="F439" s="485"/>
      <c r="G439" s="485"/>
      <c r="H439" s="485"/>
      <c r="I439" s="485"/>
      <c r="J439" s="485"/>
      <c r="K439" s="485"/>
      <c r="L439" s="485"/>
      <c r="M439" s="485"/>
      <c r="N439" s="485"/>
      <c r="O439" s="485"/>
      <c r="P439" s="485"/>
    </row>
    <row r="440" spans="1:16" ht="12.75" x14ac:dyDescent="0.2">
      <c r="A440" s="485"/>
      <c r="B440" s="485"/>
      <c r="C440" s="485"/>
      <c r="D440" s="485"/>
      <c r="E440" s="485"/>
      <c r="F440" s="485"/>
      <c r="G440" s="485"/>
      <c r="H440" s="485"/>
      <c r="I440" s="485"/>
      <c r="J440" s="485"/>
      <c r="K440" s="485"/>
      <c r="L440" s="485"/>
      <c r="M440" s="485"/>
      <c r="N440" s="485"/>
      <c r="O440" s="485"/>
      <c r="P440" s="485"/>
    </row>
    <row r="441" spans="1:16" ht="12.75" x14ac:dyDescent="0.2">
      <c r="A441" s="485"/>
      <c r="B441" s="485"/>
      <c r="C441" s="485"/>
      <c r="D441" s="485"/>
      <c r="E441" s="485"/>
      <c r="F441" s="485"/>
      <c r="G441" s="485"/>
      <c r="H441" s="485"/>
      <c r="I441" s="485"/>
      <c r="J441" s="485"/>
      <c r="K441" s="485"/>
      <c r="L441" s="485"/>
      <c r="M441" s="485"/>
      <c r="N441" s="485"/>
      <c r="O441" s="485"/>
      <c r="P441" s="485"/>
    </row>
    <row r="442" spans="1:16" ht="12.75" x14ac:dyDescent="0.2">
      <c r="A442" s="485"/>
      <c r="B442" s="485"/>
      <c r="C442" s="485"/>
      <c r="D442" s="485"/>
      <c r="E442" s="485"/>
      <c r="F442" s="485"/>
      <c r="G442" s="485"/>
      <c r="H442" s="485"/>
      <c r="I442" s="485"/>
      <c r="J442" s="485"/>
      <c r="K442" s="485"/>
      <c r="L442" s="485"/>
      <c r="M442" s="485"/>
      <c r="N442" s="485"/>
      <c r="O442" s="485"/>
      <c r="P442" s="485"/>
    </row>
    <row r="443" spans="1:16" ht="12.75" x14ac:dyDescent="0.2">
      <c r="A443" s="485"/>
      <c r="B443" s="485"/>
      <c r="C443" s="485"/>
      <c r="D443" s="485"/>
      <c r="E443" s="485"/>
      <c r="F443" s="485"/>
      <c r="G443" s="485"/>
      <c r="H443" s="485"/>
      <c r="I443" s="485"/>
      <c r="J443" s="485"/>
      <c r="K443" s="485"/>
      <c r="L443" s="485"/>
      <c r="M443" s="485"/>
      <c r="N443" s="485"/>
      <c r="O443" s="485"/>
      <c r="P443" s="485"/>
    </row>
    <row r="444" spans="1:16" ht="12.75" x14ac:dyDescent="0.2">
      <c r="A444" s="485"/>
      <c r="B444" s="485"/>
      <c r="C444" s="485"/>
      <c r="D444" s="485"/>
      <c r="E444" s="485"/>
      <c r="F444" s="485"/>
      <c r="G444" s="485"/>
      <c r="H444" s="485"/>
      <c r="I444" s="485"/>
      <c r="J444" s="485"/>
      <c r="K444" s="485"/>
      <c r="L444" s="485"/>
      <c r="M444" s="485"/>
      <c r="N444" s="485"/>
      <c r="O444" s="485"/>
      <c r="P444" s="485"/>
    </row>
    <row r="445" spans="1:16" ht="12.75" x14ac:dyDescent="0.2">
      <c r="A445" s="485"/>
      <c r="B445" s="485"/>
      <c r="C445" s="485"/>
      <c r="D445" s="485"/>
      <c r="E445" s="485"/>
      <c r="F445" s="485"/>
      <c r="G445" s="485"/>
      <c r="H445" s="485"/>
      <c r="I445" s="485"/>
      <c r="J445" s="485"/>
      <c r="K445" s="485"/>
      <c r="L445" s="485"/>
      <c r="M445" s="485"/>
      <c r="N445" s="485"/>
      <c r="O445" s="485"/>
      <c r="P445" s="485"/>
    </row>
    <row r="446" spans="1:16" ht="12.75" x14ac:dyDescent="0.2">
      <c r="A446" s="485"/>
      <c r="B446" s="485"/>
      <c r="C446" s="485"/>
      <c r="D446" s="485"/>
      <c r="E446" s="485"/>
      <c r="F446" s="485"/>
      <c r="G446" s="485"/>
      <c r="H446" s="485"/>
      <c r="I446" s="485"/>
      <c r="J446" s="485"/>
      <c r="K446" s="485"/>
      <c r="L446" s="485"/>
      <c r="M446" s="485"/>
      <c r="N446" s="485"/>
      <c r="O446" s="485"/>
      <c r="P446" s="485"/>
    </row>
    <row r="447" spans="1:16" ht="12.75" x14ac:dyDescent="0.2">
      <c r="A447" s="485"/>
      <c r="B447" s="485"/>
      <c r="C447" s="485"/>
      <c r="D447" s="485"/>
      <c r="E447" s="485"/>
      <c r="F447" s="485"/>
      <c r="G447" s="485"/>
      <c r="H447" s="485"/>
      <c r="I447" s="485"/>
      <c r="J447" s="485"/>
      <c r="K447" s="485"/>
      <c r="L447" s="485"/>
      <c r="M447" s="485"/>
      <c r="N447" s="485"/>
      <c r="O447" s="485"/>
      <c r="P447" s="485"/>
    </row>
    <row r="448" spans="1:16" ht="12.75" x14ac:dyDescent="0.2">
      <c r="A448" s="485"/>
      <c r="B448" s="485"/>
      <c r="C448" s="485"/>
      <c r="D448" s="485"/>
      <c r="E448" s="485"/>
      <c r="F448" s="485"/>
      <c r="G448" s="485"/>
      <c r="H448" s="485"/>
      <c r="I448" s="485"/>
      <c r="J448" s="485"/>
      <c r="K448" s="485"/>
      <c r="L448" s="485"/>
      <c r="M448" s="485"/>
      <c r="N448" s="485"/>
      <c r="O448" s="485"/>
      <c r="P448" s="485"/>
    </row>
    <row r="449" spans="1:16" ht="12.75" x14ac:dyDescent="0.2">
      <c r="A449" s="485"/>
      <c r="B449" s="485"/>
      <c r="C449" s="485"/>
      <c r="D449" s="485"/>
      <c r="E449" s="485"/>
      <c r="F449" s="485"/>
      <c r="G449" s="485"/>
      <c r="H449" s="485"/>
      <c r="I449" s="485"/>
      <c r="J449" s="485"/>
      <c r="K449" s="485"/>
      <c r="L449" s="485"/>
      <c r="M449" s="485"/>
      <c r="N449" s="485"/>
      <c r="O449" s="485"/>
      <c r="P449" s="485"/>
    </row>
    <row r="450" spans="1:16" ht="12.75" x14ac:dyDescent="0.2">
      <c r="A450" s="485"/>
      <c r="B450" s="485"/>
      <c r="C450" s="485"/>
      <c r="D450" s="485"/>
      <c r="E450" s="485"/>
      <c r="F450" s="485"/>
      <c r="G450" s="485"/>
      <c r="H450" s="485"/>
      <c r="I450" s="485"/>
      <c r="J450" s="485"/>
      <c r="K450" s="485"/>
      <c r="L450" s="485"/>
      <c r="M450" s="485"/>
      <c r="N450" s="485"/>
      <c r="O450" s="485"/>
      <c r="P450" s="485"/>
    </row>
    <row r="451" spans="1:16" ht="12.75" x14ac:dyDescent="0.2">
      <c r="A451" s="485"/>
      <c r="B451" s="485"/>
      <c r="C451" s="485"/>
      <c r="D451" s="485"/>
      <c r="E451" s="485"/>
      <c r="F451" s="485"/>
      <c r="G451" s="485"/>
      <c r="H451" s="485"/>
      <c r="I451" s="485"/>
      <c r="J451" s="485"/>
      <c r="K451" s="485"/>
      <c r="L451" s="485"/>
      <c r="M451" s="485"/>
      <c r="N451" s="485"/>
      <c r="O451" s="485"/>
      <c r="P451" s="485"/>
    </row>
    <row r="452" spans="1:16" ht="12.75" x14ac:dyDescent="0.2">
      <c r="A452" s="485"/>
      <c r="B452" s="485"/>
      <c r="C452" s="485"/>
      <c r="D452" s="485"/>
      <c r="E452" s="485"/>
      <c r="F452" s="485"/>
      <c r="G452" s="485"/>
      <c r="H452" s="485"/>
      <c r="I452" s="485"/>
      <c r="J452" s="485"/>
      <c r="K452" s="485"/>
      <c r="L452" s="485"/>
      <c r="M452" s="485"/>
      <c r="N452" s="485"/>
      <c r="O452" s="485"/>
      <c r="P452" s="485"/>
    </row>
    <row r="453" spans="1:16" ht="12.75" x14ac:dyDescent="0.2">
      <c r="A453" s="485"/>
      <c r="B453" s="485"/>
      <c r="C453" s="485"/>
      <c r="D453" s="485"/>
      <c r="E453" s="485"/>
      <c r="F453" s="485"/>
      <c r="G453" s="485"/>
      <c r="H453" s="485"/>
      <c r="I453" s="485"/>
      <c r="J453" s="485"/>
      <c r="K453" s="485"/>
      <c r="L453" s="485"/>
      <c r="M453" s="485"/>
      <c r="N453" s="485"/>
      <c r="O453" s="485"/>
      <c r="P453" s="485"/>
    </row>
    <row r="454" spans="1:16" ht="12.75" x14ac:dyDescent="0.2">
      <c r="A454" s="485"/>
      <c r="B454" s="485"/>
      <c r="C454" s="485"/>
      <c r="D454" s="485"/>
      <c r="E454" s="485"/>
      <c r="F454" s="485"/>
      <c r="G454" s="485"/>
      <c r="H454" s="485"/>
      <c r="I454" s="485"/>
      <c r="J454" s="485"/>
      <c r="K454" s="485"/>
      <c r="L454" s="485"/>
      <c r="M454" s="485"/>
      <c r="N454" s="485"/>
      <c r="O454" s="485"/>
      <c r="P454" s="485"/>
    </row>
    <row r="455" spans="1:16" ht="12.75" x14ac:dyDescent="0.2">
      <c r="A455" s="485"/>
      <c r="B455" s="485"/>
      <c r="C455" s="485"/>
      <c r="D455" s="485"/>
      <c r="E455" s="485"/>
      <c r="F455" s="485"/>
      <c r="G455" s="485"/>
      <c r="H455" s="485"/>
      <c r="I455" s="485"/>
      <c r="J455" s="485"/>
      <c r="K455" s="485"/>
      <c r="L455" s="485"/>
      <c r="M455" s="485"/>
      <c r="N455" s="485"/>
      <c r="O455" s="485"/>
      <c r="P455" s="485"/>
    </row>
    <row r="456" spans="1:16" ht="12.75" x14ac:dyDescent="0.2">
      <c r="A456" s="485"/>
      <c r="B456" s="485"/>
      <c r="C456" s="485"/>
      <c r="D456" s="485"/>
      <c r="E456" s="485"/>
      <c r="F456" s="485"/>
      <c r="G456" s="485"/>
      <c r="H456" s="485"/>
      <c r="I456" s="485"/>
      <c r="J456" s="485"/>
      <c r="K456" s="485"/>
      <c r="L456" s="485"/>
      <c r="M456" s="485"/>
      <c r="N456" s="485"/>
      <c r="O456" s="485"/>
      <c r="P456" s="485"/>
    </row>
    <row r="457" spans="1:16" ht="12.75" x14ac:dyDescent="0.2">
      <c r="A457" s="485"/>
      <c r="B457" s="485"/>
      <c r="C457" s="485"/>
      <c r="D457" s="485"/>
      <c r="E457" s="485"/>
      <c r="F457" s="485"/>
      <c r="G457" s="485"/>
      <c r="H457" s="485"/>
      <c r="I457" s="485"/>
      <c r="J457" s="485"/>
      <c r="K457" s="485"/>
      <c r="L457" s="485"/>
      <c r="M457" s="485"/>
      <c r="N457" s="485"/>
      <c r="O457" s="485"/>
      <c r="P457" s="485"/>
    </row>
    <row r="458" spans="1:16" ht="12.75" x14ac:dyDescent="0.2">
      <c r="A458" s="485"/>
      <c r="B458" s="485"/>
      <c r="C458" s="485"/>
      <c r="D458" s="485"/>
      <c r="E458" s="485"/>
      <c r="F458" s="485"/>
      <c r="G458" s="485"/>
      <c r="H458" s="485"/>
      <c r="I458" s="485"/>
      <c r="J458" s="485"/>
      <c r="K458" s="485"/>
      <c r="L458" s="485"/>
      <c r="M458" s="485"/>
      <c r="N458" s="485"/>
      <c r="O458" s="485"/>
      <c r="P458" s="485"/>
    </row>
    <row r="459" spans="1:16" ht="12.75" x14ac:dyDescent="0.2">
      <c r="A459" s="485"/>
      <c r="B459" s="485"/>
      <c r="C459" s="485"/>
      <c r="D459" s="485"/>
      <c r="E459" s="485"/>
      <c r="F459" s="485"/>
      <c r="G459" s="485"/>
      <c r="H459" s="485"/>
      <c r="I459" s="485"/>
      <c r="J459" s="485"/>
      <c r="K459" s="485"/>
      <c r="L459" s="485"/>
      <c r="M459" s="485"/>
      <c r="N459" s="485"/>
      <c r="O459" s="485"/>
      <c r="P459" s="485"/>
    </row>
    <row r="460" spans="1:16" ht="12.75" x14ac:dyDescent="0.2">
      <c r="A460" s="485"/>
      <c r="B460" s="485"/>
      <c r="C460" s="485"/>
      <c r="D460" s="485"/>
      <c r="E460" s="485"/>
      <c r="F460" s="485"/>
      <c r="G460" s="485"/>
      <c r="H460" s="485"/>
      <c r="I460" s="485"/>
      <c r="J460" s="485"/>
      <c r="K460" s="485"/>
      <c r="L460" s="485"/>
      <c r="M460" s="485"/>
      <c r="N460" s="485"/>
      <c r="O460" s="485"/>
      <c r="P460" s="485"/>
    </row>
    <row r="461" spans="1:16" ht="12.75" x14ac:dyDescent="0.2">
      <c r="A461" s="485"/>
      <c r="B461" s="485"/>
      <c r="C461" s="485"/>
      <c r="D461" s="485"/>
      <c r="E461" s="485"/>
      <c r="F461" s="485"/>
      <c r="G461" s="485"/>
      <c r="H461" s="485"/>
      <c r="I461" s="485"/>
      <c r="J461" s="485"/>
      <c r="K461" s="485"/>
      <c r="L461" s="485"/>
      <c r="M461" s="485"/>
      <c r="N461" s="485"/>
      <c r="O461" s="485"/>
      <c r="P461" s="485"/>
    </row>
    <row r="462" spans="1:16" ht="12.75" x14ac:dyDescent="0.2">
      <c r="A462" s="485"/>
      <c r="B462" s="485"/>
      <c r="C462" s="485"/>
      <c r="D462" s="485"/>
      <c r="E462" s="485"/>
      <c r="F462" s="485"/>
      <c r="G462" s="485"/>
      <c r="H462" s="485"/>
      <c r="I462" s="485"/>
      <c r="J462" s="485"/>
      <c r="K462" s="485"/>
      <c r="L462" s="485"/>
      <c r="M462" s="485"/>
      <c r="N462" s="485"/>
      <c r="O462" s="485"/>
      <c r="P462" s="485"/>
    </row>
    <row r="463" spans="1:16" ht="12.75" x14ac:dyDescent="0.2">
      <c r="A463" s="485"/>
      <c r="B463" s="485"/>
      <c r="C463" s="485"/>
      <c r="D463" s="485"/>
      <c r="E463" s="485"/>
      <c r="F463" s="485"/>
      <c r="G463" s="485"/>
      <c r="H463" s="485"/>
      <c r="I463" s="485"/>
      <c r="J463" s="485"/>
      <c r="K463" s="485"/>
      <c r="L463" s="485"/>
      <c r="M463" s="485"/>
      <c r="N463" s="485"/>
      <c r="O463" s="485"/>
      <c r="P463" s="485"/>
    </row>
    <row r="464" spans="1:16" ht="12.75" x14ac:dyDescent="0.2">
      <c r="A464" s="485"/>
      <c r="B464" s="485"/>
      <c r="C464" s="485"/>
      <c r="D464" s="485"/>
      <c r="E464" s="485"/>
      <c r="F464" s="485"/>
      <c r="G464" s="485"/>
      <c r="H464" s="485"/>
      <c r="I464" s="485"/>
      <c r="J464" s="485"/>
      <c r="K464" s="485"/>
      <c r="L464" s="485"/>
      <c r="M464" s="485"/>
      <c r="N464" s="485"/>
      <c r="O464" s="485"/>
      <c r="P464" s="485"/>
    </row>
    <row r="465" spans="1:16" ht="12.75" x14ac:dyDescent="0.2">
      <c r="A465" s="485"/>
      <c r="B465" s="485"/>
      <c r="C465" s="485"/>
      <c r="D465" s="485"/>
      <c r="E465" s="485"/>
      <c r="F465" s="485"/>
      <c r="G465" s="485"/>
      <c r="H465" s="485"/>
      <c r="I465" s="485"/>
      <c r="J465" s="485"/>
      <c r="K465" s="485"/>
      <c r="L465" s="485"/>
      <c r="M465" s="485"/>
      <c r="N465" s="485"/>
      <c r="O465" s="485"/>
      <c r="P465" s="485"/>
    </row>
    <row r="466" spans="1:16" ht="12.75" x14ac:dyDescent="0.2">
      <c r="A466" s="485"/>
      <c r="B466" s="485"/>
      <c r="C466" s="485"/>
      <c r="D466" s="485"/>
      <c r="E466" s="485"/>
      <c r="F466" s="485"/>
      <c r="G466" s="485"/>
      <c r="H466" s="485"/>
      <c r="I466" s="485"/>
      <c r="J466" s="485"/>
      <c r="K466" s="485"/>
      <c r="L466" s="485"/>
      <c r="M466" s="485"/>
      <c r="N466" s="485"/>
      <c r="O466" s="485"/>
      <c r="P466" s="485"/>
    </row>
    <row r="467" spans="1:16" ht="12.75" x14ac:dyDescent="0.2">
      <c r="A467" s="485"/>
      <c r="B467" s="485"/>
      <c r="C467" s="485"/>
      <c r="D467" s="485"/>
      <c r="E467" s="485"/>
      <c r="F467" s="485"/>
      <c r="G467" s="485"/>
      <c r="H467" s="485"/>
      <c r="I467" s="485"/>
      <c r="J467" s="485"/>
      <c r="K467" s="485"/>
      <c r="L467" s="485"/>
      <c r="M467" s="485"/>
      <c r="N467" s="485"/>
      <c r="O467" s="485"/>
      <c r="P467" s="485"/>
    </row>
    <row r="468" spans="1:16" ht="12.75" x14ac:dyDescent="0.2">
      <c r="A468" s="485"/>
      <c r="B468" s="485"/>
      <c r="C468" s="485"/>
      <c r="D468" s="485"/>
      <c r="E468" s="485"/>
      <c r="F468" s="485"/>
      <c r="G468" s="485"/>
      <c r="H468" s="485"/>
      <c r="I468" s="485"/>
      <c r="J468" s="485"/>
      <c r="K468" s="485"/>
      <c r="L468" s="485"/>
      <c r="M468" s="485"/>
      <c r="N468" s="485"/>
      <c r="O468" s="485"/>
      <c r="P468" s="485"/>
    </row>
    <row r="469" spans="1:16" ht="12.75" x14ac:dyDescent="0.2">
      <c r="A469" s="485"/>
      <c r="B469" s="485"/>
      <c r="C469" s="485"/>
      <c r="D469" s="485"/>
      <c r="E469" s="485"/>
      <c r="F469" s="485"/>
      <c r="G469" s="485"/>
      <c r="H469" s="485"/>
      <c r="I469" s="485"/>
      <c r="J469" s="485"/>
      <c r="K469" s="485"/>
      <c r="L469" s="485"/>
      <c r="M469" s="485"/>
      <c r="N469" s="485"/>
      <c r="O469" s="485"/>
      <c r="P469" s="485"/>
    </row>
    <row r="470" spans="1:16" ht="12.75" x14ac:dyDescent="0.2">
      <c r="A470" s="485"/>
      <c r="B470" s="485"/>
      <c r="C470" s="485"/>
      <c r="D470" s="485"/>
      <c r="E470" s="485"/>
      <c r="F470" s="485"/>
      <c r="G470" s="485"/>
      <c r="H470" s="485"/>
      <c r="I470" s="485"/>
      <c r="J470" s="485"/>
      <c r="K470" s="485"/>
      <c r="L470" s="485"/>
      <c r="M470" s="485"/>
      <c r="N470" s="485"/>
      <c r="O470" s="485"/>
      <c r="P470" s="485"/>
    </row>
    <row r="471" spans="1:16" ht="12.75" x14ac:dyDescent="0.2">
      <c r="A471" s="485"/>
      <c r="B471" s="485"/>
      <c r="C471" s="485"/>
      <c r="D471" s="485"/>
      <c r="E471" s="485"/>
      <c r="F471" s="485"/>
      <c r="G471" s="485"/>
      <c r="H471" s="485"/>
      <c r="I471" s="485"/>
      <c r="J471" s="485"/>
      <c r="K471" s="485"/>
      <c r="L471" s="485"/>
      <c r="M471" s="485"/>
      <c r="N471" s="485"/>
      <c r="O471" s="485"/>
      <c r="P471" s="485"/>
    </row>
    <row r="472" spans="1:16" ht="12.75" x14ac:dyDescent="0.2">
      <c r="A472" s="485"/>
      <c r="B472" s="485"/>
      <c r="C472" s="485"/>
      <c r="D472" s="485"/>
      <c r="E472" s="485"/>
      <c r="F472" s="485"/>
      <c r="G472" s="485"/>
      <c r="H472" s="485"/>
      <c r="I472" s="485"/>
      <c r="J472" s="485"/>
      <c r="K472" s="485"/>
      <c r="L472" s="485"/>
      <c r="M472" s="485"/>
      <c r="N472" s="485"/>
      <c r="O472" s="485"/>
      <c r="P472" s="485"/>
    </row>
    <row r="473" spans="1:16" ht="12.75" x14ac:dyDescent="0.2">
      <c r="A473" s="485"/>
      <c r="B473" s="485"/>
      <c r="C473" s="485"/>
      <c r="D473" s="485"/>
      <c r="E473" s="485"/>
      <c r="F473" s="485"/>
      <c r="G473" s="485"/>
      <c r="H473" s="485"/>
      <c r="I473" s="485"/>
      <c r="J473" s="485"/>
      <c r="K473" s="485"/>
      <c r="L473" s="485"/>
      <c r="M473" s="485"/>
      <c r="N473" s="485"/>
      <c r="O473" s="485"/>
      <c r="P473" s="485"/>
    </row>
    <row r="474" spans="1:16" ht="12.75" x14ac:dyDescent="0.2">
      <c r="A474" s="485"/>
      <c r="B474" s="485"/>
      <c r="C474" s="485"/>
      <c r="D474" s="485"/>
      <c r="E474" s="485"/>
      <c r="F474" s="485"/>
      <c r="G474" s="485"/>
      <c r="H474" s="485"/>
      <c r="I474" s="485"/>
      <c r="J474" s="485"/>
      <c r="K474" s="485"/>
      <c r="L474" s="485"/>
      <c r="M474" s="485"/>
      <c r="N474" s="485"/>
      <c r="O474" s="485"/>
      <c r="P474" s="485"/>
    </row>
    <row r="475" spans="1:16" ht="12.75" x14ac:dyDescent="0.2">
      <c r="A475" s="485"/>
      <c r="B475" s="485"/>
      <c r="C475" s="485"/>
      <c r="D475" s="485"/>
      <c r="E475" s="485"/>
      <c r="F475" s="485"/>
      <c r="G475" s="485"/>
      <c r="H475" s="485"/>
      <c r="I475" s="485"/>
      <c r="J475" s="485"/>
      <c r="K475" s="485"/>
      <c r="L475" s="485"/>
      <c r="M475" s="485"/>
      <c r="N475" s="485"/>
      <c r="O475" s="485"/>
      <c r="P475" s="485"/>
    </row>
    <row r="476" spans="1:16" ht="12.75" x14ac:dyDescent="0.2">
      <c r="A476" s="485"/>
      <c r="B476" s="485"/>
      <c r="C476" s="485"/>
      <c r="D476" s="485"/>
      <c r="E476" s="485"/>
      <c r="F476" s="485"/>
      <c r="G476" s="485"/>
      <c r="H476" s="485"/>
      <c r="I476" s="485"/>
      <c r="J476" s="485"/>
      <c r="K476" s="485"/>
      <c r="L476" s="485"/>
      <c r="M476" s="485"/>
      <c r="N476" s="485"/>
      <c r="O476" s="485"/>
      <c r="P476" s="485"/>
    </row>
    <row r="477" spans="1:16" ht="12.75" x14ac:dyDescent="0.2">
      <c r="A477" s="485"/>
      <c r="B477" s="485"/>
      <c r="C477" s="485"/>
      <c r="D477" s="485"/>
      <c r="E477" s="485"/>
      <c r="F477" s="485"/>
      <c r="G477" s="485"/>
      <c r="H477" s="485"/>
      <c r="I477" s="485"/>
      <c r="J477" s="485"/>
      <c r="K477" s="485"/>
      <c r="L477" s="485"/>
      <c r="M477" s="485"/>
      <c r="N477" s="485"/>
      <c r="O477" s="485"/>
      <c r="P477" s="485"/>
    </row>
    <row r="478" spans="1:16" ht="12.75" x14ac:dyDescent="0.2">
      <c r="A478" s="485"/>
      <c r="B478" s="485"/>
      <c r="C478" s="485"/>
      <c r="D478" s="485"/>
      <c r="E478" s="485"/>
      <c r="F478" s="485"/>
      <c r="G478" s="485"/>
      <c r="H478" s="485"/>
      <c r="I478" s="485"/>
      <c r="J478" s="485"/>
      <c r="K478" s="485"/>
      <c r="L478" s="485"/>
      <c r="M478" s="485"/>
      <c r="N478" s="485"/>
      <c r="O478" s="485"/>
      <c r="P478" s="485"/>
    </row>
    <row r="479" spans="1:16" ht="12.75" x14ac:dyDescent="0.2">
      <c r="A479" s="485"/>
      <c r="B479" s="485"/>
      <c r="C479" s="485"/>
      <c r="D479" s="485"/>
      <c r="E479" s="485"/>
      <c r="F479" s="485"/>
      <c r="G479" s="485"/>
      <c r="H479" s="485"/>
      <c r="I479" s="485"/>
      <c r="J479" s="485"/>
      <c r="K479" s="485"/>
      <c r="L479" s="485"/>
      <c r="M479" s="485"/>
      <c r="N479" s="485"/>
      <c r="O479" s="485"/>
      <c r="P479" s="485"/>
    </row>
    <row r="480" spans="1:16" ht="12.75" x14ac:dyDescent="0.2">
      <c r="A480" s="485"/>
      <c r="B480" s="485"/>
      <c r="C480" s="485"/>
      <c r="D480" s="485"/>
      <c r="E480" s="485"/>
      <c r="F480" s="485"/>
      <c r="G480" s="485"/>
      <c r="H480" s="485"/>
      <c r="I480" s="485"/>
      <c r="J480" s="485"/>
      <c r="K480" s="485"/>
      <c r="L480" s="485"/>
      <c r="M480" s="485"/>
      <c r="N480" s="485"/>
      <c r="O480" s="485"/>
      <c r="P480" s="485"/>
    </row>
    <row r="481" spans="1:16" ht="12.75" x14ac:dyDescent="0.2">
      <c r="A481" s="485"/>
      <c r="B481" s="485"/>
      <c r="C481" s="485"/>
      <c r="D481" s="485"/>
      <c r="E481" s="485"/>
      <c r="F481" s="485"/>
      <c r="G481" s="485"/>
      <c r="H481" s="485"/>
      <c r="I481" s="485"/>
      <c r="J481" s="485"/>
      <c r="K481" s="485"/>
      <c r="L481" s="485"/>
      <c r="M481" s="485"/>
      <c r="N481" s="485"/>
      <c r="O481" s="485"/>
      <c r="P481" s="485"/>
    </row>
    <row r="482" spans="1:16" ht="12.75" x14ac:dyDescent="0.2">
      <c r="A482" s="485"/>
      <c r="B482" s="485"/>
      <c r="C482" s="485"/>
      <c r="D482" s="485"/>
      <c r="E482" s="485"/>
      <c r="F482" s="485"/>
      <c r="G482" s="485"/>
      <c r="H482" s="485"/>
      <c r="I482" s="485"/>
      <c r="J482" s="485"/>
      <c r="K482" s="485"/>
      <c r="L482" s="485"/>
      <c r="M482" s="485"/>
      <c r="N482" s="485"/>
      <c r="O482" s="485"/>
      <c r="P482" s="485"/>
    </row>
    <row r="483" spans="1:16" ht="12.75" x14ac:dyDescent="0.2">
      <c r="A483" s="485"/>
      <c r="B483" s="485"/>
      <c r="C483" s="485"/>
      <c r="D483" s="485"/>
      <c r="E483" s="485"/>
      <c r="F483" s="485"/>
      <c r="G483" s="485"/>
      <c r="H483" s="485"/>
      <c r="I483" s="485"/>
      <c r="J483" s="485"/>
      <c r="K483" s="485"/>
      <c r="L483" s="485"/>
      <c r="M483" s="485"/>
      <c r="N483" s="485"/>
      <c r="O483" s="485"/>
      <c r="P483" s="485"/>
    </row>
    <row r="484" spans="1:16" ht="12.75" x14ac:dyDescent="0.2">
      <c r="A484" s="485"/>
      <c r="B484" s="485"/>
      <c r="C484" s="485"/>
      <c r="D484" s="485"/>
      <c r="E484" s="485"/>
      <c r="F484" s="485"/>
      <c r="G484" s="485"/>
      <c r="H484" s="485"/>
      <c r="I484" s="485"/>
      <c r="J484" s="485"/>
      <c r="K484" s="485"/>
      <c r="L484" s="485"/>
      <c r="M484" s="485"/>
      <c r="N484" s="485"/>
      <c r="O484" s="485"/>
      <c r="P484" s="485"/>
    </row>
    <row r="485" spans="1:16" ht="12.75" x14ac:dyDescent="0.2">
      <c r="A485" s="485"/>
      <c r="B485" s="485"/>
      <c r="C485" s="485"/>
      <c r="D485" s="485"/>
      <c r="E485" s="485"/>
      <c r="F485" s="485"/>
      <c r="G485" s="485"/>
      <c r="H485" s="485"/>
      <c r="I485" s="485"/>
      <c r="J485" s="485"/>
      <c r="K485" s="485"/>
      <c r="L485" s="485"/>
      <c r="M485" s="485"/>
      <c r="N485" s="485"/>
      <c r="O485" s="485"/>
      <c r="P485" s="485"/>
    </row>
    <row r="486" spans="1:16" ht="12.75" x14ac:dyDescent="0.2">
      <c r="A486" s="485"/>
      <c r="B486" s="485"/>
      <c r="C486" s="485"/>
      <c r="D486" s="485"/>
      <c r="E486" s="485"/>
      <c r="F486" s="485"/>
      <c r="G486" s="485"/>
      <c r="H486" s="485"/>
      <c r="I486" s="485"/>
      <c r="J486" s="485"/>
      <c r="K486" s="485"/>
      <c r="L486" s="485"/>
      <c r="M486" s="485"/>
      <c r="N486" s="485"/>
      <c r="O486" s="485"/>
      <c r="P486" s="485"/>
    </row>
    <row r="487" spans="1:16" ht="12.75" x14ac:dyDescent="0.2">
      <c r="A487" s="485"/>
      <c r="B487" s="485"/>
      <c r="C487" s="485"/>
      <c r="D487" s="485"/>
      <c r="E487" s="485"/>
      <c r="F487" s="485"/>
      <c r="G487" s="485"/>
      <c r="H487" s="485"/>
      <c r="I487" s="485"/>
      <c r="J487" s="485"/>
      <c r="K487" s="485"/>
      <c r="L487" s="485"/>
      <c r="M487" s="485"/>
      <c r="N487" s="485"/>
      <c r="O487" s="485"/>
      <c r="P487" s="485"/>
    </row>
    <row r="488" spans="1:16" ht="12.75" x14ac:dyDescent="0.2">
      <c r="A488" s="485"/>
      <c r="B488" s="485"/>
      <c r="C488" s="485"/>
      <c r="D488" s="485"/>
      <c r="E488" s="485"/>
      <c r="F488" s="485"/>
      <c r="G488" s="485"/>
      <c r="H488" s="485"/>
      <c r="I488" s="485"/>
      <c r="J488" s="485"/>
      <c r="K488" s="485"/>
      <c r="L488" s="485"/>
      <c r="M488" s="485"/>
      <c r="N488" s="485"/>
      <c r="O488" s="485"/>
      <c r="P488" s="485"/>
    </row>
    <row r="489" spans="1:16" ht="12.75" x14ac:dyDescent="0.2">
      <c r="A489" s="485"/>
      <c r="B489" s="485"/>
      <c r="C489" s="485"/>
      <c r="D489" s="485"/>
      <c r="E489" s="485"/>
      <c r="F489" s="485"/>
      <c r="G489" s="485"/>
      <c r="H489" s="485"/>
      <c r="I489" s="485"/>
      <c r="J489" s="485"/>
      <c r="K489" s="485"/>
      <c r="L489" s="485"/>
      <c r="M489" s="485"/>
      <c r="N489" s="485"/>
      <c r="O489" s="485"/>
      <c r="P489" s="485"/>
    </row>
    <row r="490" spans="1:16" ht="12.75" x14ac:dyDescent="0.2">
      <c r="A490" s="485"/>
      <c r="B490" s="485"/>
      <c r="C490" s="485"/>
      <c r="D490" s="485"/>
      <c r="E490" s="485"/>
      <c r="F490" s="485"/>
      <c r="G490" s="485"/>
      <c r="H490" s="485"/>
      <c r="I490" s="485"/>
      <c r="J490" s="485"/>
      <c r="K490" s="485"/>
      <c r="L490" s="485"/>
      <c r="M490" s="485"/>
      <c r="N490" s="485"/>
      <c r="O490" s="485"/>
      <c r="P490" s="485"/>
    </row>
    <row r="491" spans="1:16" ht="12.75" x14ac:dyDescent="0.2">
      <c r="A491" s="485"/>
      <c r="B491" s="485"/>
      <c r="C491" s="485"/>
      <c r="D491" s="485"/>
      <c r="E491" s="485"/>
      <c r="F491" s="485"/>
      <c r="G491" s="485"/>
      <c r="H491" s="485"/>
      <c r="I491" s="485"/>
      <c r="J491" s="485"/>
      <c r="K491" s="485"/>
      <c r="L491" s="485"/>
      <c r="M491" s="485"/>
      <c r="N491" s="485"/>
      <c r="O491" s="485"/>
      <c r="P491" s="485"/>
    </row>
    <row r="492" spans="1:16" ht="12.75" x14ac:dyDescent="0.2">
      <c r="A492" s="485"/>
      <c r="B492" s="485"/>
      <c r="C492" s="485"/>
      <c r="D492" s="485"/>
      <c r="E492" s="485"/>
      <c r="F492" s="485"/>
      <c r="G492" s="485"/>
      <c r="H492" s="485"/>
      <c r="I492" s="485"/>
      <c r="J492" s="485"/>
      <c r="K492" s="485"/>
      <c r="L492" s="485"/>
      <c r="M492" s="485"/>
      <c r="N492" s="485"/>
      <c r="O492" s="485"/>
      <c r="P492" s="485"/>
    </row>
    <row r="493" spans="1:16" ht="12.75" x14ac:dyDescent="0.2">
      <c r="A493" s="485"/>
      <c r="B493" s="485"/>
      <c r="C493" s="485"/>
      <c r="D493" s="485"/>
      <c r="E493" s="485"/>
      <c r="F493" s="485"/>
      <c r="G493" s="485"/>
      <c r="H493" s="485"/>
      <c r="I493" s="485"/>
      <c r="J493" s="485"/>
      <c r="K493" s="485"/>
      <c r="L493" s="485"/>
      <c r="M493" s="485"/>
      <c r="N493" s="485"/>
      <c r="O493" s="485"/>
      <c r="P493" s="485"/>
    </row>
    <row r="494" spans="1:16" ht="12.75" x14ac:dyDescent="0.2">
      <c r="A494" s="485"/>
      <c r="B494" s="485"/>
      <c r="C494" s="485"/>
      <c r="D494" s="485"/>
      <c r="E494" s="485"/>
      <c r="F494" s="485"/>
      <c r="G494" s="485"/>
      <c r="H494" s="485"/>
      <c r="I494" s="485"/>
      <c r="J494" s="485"/>
      <c r="K494" s="485"/>
      <c r="L494" s="485"/>
      <c r="M494" s="485"/>
      <c r="N494" s="485"/>
      <c r="O494" s="485"/>
      <c r="P494" s="485"/>
    </row>
    <row r="495" spans="1:16" ht="12.75" x14ac:dyDescent="0.2">
      <c r="A495" s="485"/>
      <c r="B495" s="485"/>
      <c r="C495" s="485"/>
      <c r="D495" s="485"/>
      <c r="E495" s="485"/>
      <c r="F495" s="485"/>
      <c r="G495" s="485"/>
      <c r="H495" s="485"/>
      <c r="I495" s="485"/>
      <c r="J495" s="485"/>
      <c r="K495" s="485"/>
      <c r="L495" s="485"/>
      <c r="M495" s="485"/>
      <c r="N495" s="485"/>
      <c r="O495" s="485"/>
      <c r="P495" s="485"/>
    </row>
    <row r="496" spans="1:16" ht="12.75" x14ac:dyDescent="0.2">
      <c r="A496" s="485"/>
      <c r="B496" s="485"/>
      <c r="C496" s="485"/>
      <c r="D496" s="485"/>
      <c r="E496" s="485"/>
      <c r="F496" s="485"/>
      <c r="G496" s="485"/>
      <c r="H496" s="485"/>
      <c r="I496" s="485"/>
      <c r="J496" s="485"/>
      <c r="K496" s="485"/>
      <c r="L496" s="485"/>
      <c r="M496" s="485"/>
      <c r="N496" s="485"/>
      <c r="O496" s="485"/>
      <c r="P496" s="485"/>
    </row>
    <row r="497" spans="1:16" ht="12.75" x14ac:dyDescent="0.2">
      <c r="A497" s="485"/>
      <c r="B497" s="485"/>
      <c r="C497" s="485"/>
      <c r="D497" s="485"/>
      <c r="E497" s="485"/>
      <c r="F497" s="485"/>
      <c r="G497" s="485"/>
      <c r="H497" s="485"/>
      <c r="I497" s="485"/>
      <c r="J497" s="485"/>
      <c r="K497" s="485"/>
      <c r="L497" s="485"/>
      <c r="M497" s="485"/>
      <c r="N497" s="485"/>
      <c r="O497" s="485"/>
      <c r="P497" s="485"/>
    </row>
    <row r="498" spans="1:16" ht="12.75" x14ac:dyDescent="0.2">
      <c r="A498" s="485"/>
      <c r="B498" s="485"/>
      <c r="C498" s="485"/>
      <c r="D498" s="485"/>
      <c r="E498" s="485"/>
      <c r="F498" s="485"/>
      <c r="G498" s="485"/>
      <c r="H498" s="485"/>
      <c r="I498" s="485"/>
      <c r="J498" s="485"/>
      <c r="K498" s="485"/>
      <c r="L498" s="485"/>
      <c r="M498" s="485"/>
      <c r="N498" s="485"/>
      <c r="O498" s="485"/>
      <c r="P498" s="485"/>
    </row>
    <row r="499" spans="1:16" ht="12.75" x14ac:dyDescent="0.2">
      <c r="A499" s="485"/>
      <c r="B499" s="485"/>
      <c r="C499" s="485"/>
      <c r="D499" s="485"/>
      <c r="E499" s="485"/>
      <c r="F499" s="485"/>
      <c r="G499" s="485"/>
      <c r="H499" s="485"/>
      <c r="I499" s="485"/>
      <c r="J499" s="485"/>
      <c r="K499" s="485"/>
      <c r="L499" s="485"/>
      <c r="M499" s="485"/>
      <c r="N499" s="485"/>
      <c r="O499" s="485"/>
      <c r="P499" s="485"/>
    </row>
    <row r="500" spans="1:16" ht="12.75" x14ac:dyDescent="0.2">
      <c r="A500" s="485"/>
      <c r="B500" s="485"/>
      <c r="C500" s="485"/>
      <c r="D500" s="485"/>
      <c r="E500" s="485"/>
      <c r="F500" s="485"/>
      <c r="G500" s="485"/>
      <c r="H500" s="485"/>
      <c r="I500" s="485"/>
      <c r="J500" s="485"/>
      <c r="K500" s="485"/>
      <c r="L500" s="485"/>
      <c r="M500" s="485"/>
      <c r="N500" s="485"/>
      <c r="O500" s="485"/>
      <c r="P500" s="485"/>
    </row>
    <row r="501" spans="1:16" ht="12.75" x14ac:dyDescent="0.2">
      <c r="A501" s="485"/>
      <c r="B501" s="485"/>
      <c r="C501" s="485"/>
      <c r="D501" s="485"/>
      <c r="E501" s="485"/>
      <c r="F501" s="485"/>
      <c r="G501" s="485"/>
      <c r="H501" s="485"/>
      <c r="I501" s="485"/>
      <c r="J501" s="485"/>
      <c r="K501" s="485"/>
      <c r="L501" s="485"/>
      <c r="M501" s="485"/>
      <c r="N501" s="485"/>
      <c r="O501" s="485"/>
      <c r="P501" s="485"/>
    </row>
    <row r="502" spans="1:16" ht="12.75" x14ac:dyDescent="0.2">
      <c r="A502" s="485"/>
      <c r="B502" s="485"/>
      <c r="C502" s="485"/>
      <c r="D502" s="485"/>
      <c r="E502" s="485"/>
      <c r="F502" s="485"/>
      <c r="G502" s="485"/>
      <c r="H502" s="485"/>
      <c r="I502" s="485"/>
      <c r="J502" s="485"/>
      <c r="K502" s="485"/>
      <c r="L502" s="485"/>
      <c r="M502" s="485"/>
      <c r="N502" s="485"/>
      <c r="O502" s="485"/>
      <c r="P502" s="485"/>
    </row>
    <row r="503" spans="1:16" ht="12.75" x14ac:dyDescent="0.2">
      <c r="A503" s="485"/>
      <c r="B503" s="485"/>
      <c r="C503" s="485"/>
      <c r="D503" s="485"/>
      <c r="E503" s="485"/>
      <c r="F503" s="485"/>
      <c r="G503" s="485"/>
      <c r="H503" s="485"/>
      <c r="I503" s="485"/>
      <c r="J503" s="485"/>
      <c r="K503" s="485"/>
      <c r="L503" s="485"/>
      <c r="M503" s="485"/>
      <c r="N503" s="485"/>
      <c r="O503" s="485"/>
      <c r="P503" s="485"/>
    </row>
    <row r="504" spans="1:16" ht="12.75" x14ac:dyDescent="0.2">
      <c r="A504" s="485"/>
      <c r="B504" s="485"/>
      <c r="C504" s="485"/>
      <c r="D504" s="485"/>
      <c r="E504" s="485"/>
      <c r="F504" s="485"/>
      <c r="G504" s="485"/>
      <c r="H504" s="485"/>
      <c r="I504" s="485"/>
      <c r="J504" s="485"/>
      <c r="K504" s="485"/>
      <c r="L504" s="485"/>
      <c r="M504" s="485"/>
      <c r="N504" s="485"/>
      <c r="O504" s="485"/>
      <c r="P504" s="485"/>
    </row>
    <row r="505" spans="1:16" ht="12.75" x14ac:dyDescent="0.2">
      <c r="A505" s="485"/>
      <c r="B505" s="485"/>
      <c r="C505" s="485"/>
      <c r="D505" s="485"/>
      <c r="E505" s="485"/>
      <c r="F505" s="485"/>
      <c r="G505" s="485"/>
      <c r="H505" s="485"/>
      <c r="I505" s="485"/>
      <c r="J505" s="485"/>
      <c r="K505" s="485"/>
      <c r="L505" s="485"/>
      <c r="M505" s="485"/>
      <c r="N505" s="485"/>
      <c r="O505" s="485"/>
      <c r="P505" s="485"/>
    </row>
    <row r="506" spans="1:16" ht="12.75" x14ac:dyDescent="0.2">
      <c r="A506" s="485"/>
      <c r="B506" s="485"/>
      <c r="C506" s="485"/>
      <c r="D506" s="485"/>
      <c r="E506" s="485"/>
      <c r="F506" s="485"/>
      <c r="G506" s="485"/>
      <c r="H506" s="485"/>
      <c r="I506" s="485"/>
      <c r="J506" s="485"/>
      <c r="K506" s="485"/>
      <c r="L506" s="485"/>
      <c r="M506" s="485"/>
      <c r="N506" s="485"/>
      <c r="O506" s="485"/>
      <c r="P506" s="485"/>
    </row>
    <row r="507" spans="1:16" ht="12.75" x14ac:dyDescent="0.2">
      <c r="A507" s="485"/>
      <c r="B507" s="485"/>
      <c r="C507" s="485"/>
      <c r="D507" s="485"/>
      <c r="E507" s="485"/>
      <c r="F507" s="485"/>
      <c r="G507" s="485"/>
      <c r="H507" s="485"/>
      <c r="I507" s="485"/>
      <c r="J507" s="485"/>
      <c r="K507" s="485"/>
      <c r="L507" s="485"/>
      <c r="M507" s="485"/>
      <c r="N507" s="485"/>
      <c r="O507" s="485"/>
      <c r="P507" s="485"/>
    </row>
    <row r="508" spans="1:16" ht="12.75" x14ac:dyDescent="0.2">
      <c r="A508" s="485"/>
      <c r="B508" s="485"/>
      <c r="C508" s="485"/>
      <c r="D508" s="485"/>
      <c r="E508" s="485"/>
      <c r="F508" s="485"/>
      <c r="G508" s="485"/>
      <c r="H508" s="485"/>
      <c r="I508" s="485"/>
      <c r="J508" s="485"/>
      <c r="K508" s="485"/>
      <c r="L508" s="485"/>
      <c r="M508" s="485"/>
      <c r="N508" s="485"/>
      <c r="O508" s="485"/>
      <c r="P508" s="485"/>
    </row>
    <row r="509" spans="1:16" ht="12.75" x14ac:dyDescent="0.2">
      <c r="A509" s="485"/>
      <c r="B509" s="485"/>
      <c r="C509" s="485"/>
      <c r="D509" s="485"/>
      <c r="E509" s="485"/>
      <c r="F509" s="485"/>
      <c r="G509" s="485"/>
      <c r="H509" s="485"/>
      <c r="I509" s="485"/>
      <c r="J509" s="485"/>
      <c r="K509" s="485"/>
      <c r="L509" s="485"/>
      <c r="M509" s="485"/>
      <c r="N509" s="485"/>
      <c r="O509" s="485"/>
      <c r="P509" s="485"/>
    </row>
    <row r="510" spans="1:16" ht="12.75" x14ac:dyDescent="0.2">
      <c r="A510" s="485"/>
      <c r="B510" s="485"/>
      <c r="C510" s="485"/>
      <c r="D510" s="485"/>
      <c r="E510" s="485"/>
      <c r="F510" s="485"/>
      <c r="G510" s="485"/>
      <c r="H510" s="485"/>
      <c r="I510" s="485"/>
      <c r="J510" s="485"/>
      <c r="K510" s="485"/>
      <c r="L510" s="485"/>
      <c r="M510" s="485"/>
      <c r="N510" s="485"/>
      <c r="O510" s="485"/>
      <c r="P510" s="485"/>
    </row>
    <row r="511" spans="1:16" ht="12.75" x14ac:dyDescent="0.2">
      <c r="A511" s="485"/>
      <c r="B511" s="485"/>
      <c r="C511" s="485"/>
      <c r="D511" s="485"/>
      <c r="E511" s="485"/>
      <c r="F511" s="485"/>
      <c r="G511" s="485"/>
      <c r="H511" s="485"/>
      <c r="I511" s="485"/>
      <c r="J511" s="485"/>
      <c r="K511" s="485"/>
      <c r="L511" s="485"/>
      <c r="M511" s="485"/>
      <c r="N511" s="485"/>
      <c r="O511" s="485"/>
      <c r="P511" s="485"/>
    </row>
    <row r="512" spans="1:16" ht="12.75" x14ac:dyDescent="0.2">
      <c r="A512" s="485"/>
      <c r="B512" s="485"/>
      <c r="C512" s="485"/>
      <c r="D512" s="485"/>
      <c r="E512" s="485"/>
      <c r="F512" s="485"/>
      <c r="G512" s="485"/>
      <c r="H512" s="485"/>
      <c r="I512" s="485"/>
      <c r="J512" s="485"/>
      <c r="K512" s="485"/>
      <c r="L512" s="485"/>
      <c r="M512" s="485"/>
      <c r="N512" s="485"/>
      <c r="O512" s="485"/>
      <c r="P512" s="485"/>
    </row>
    <row r="513" spans="1:16" ht="12.75" x14ac:dyDescent="0.2">
      <c r="A513" s="485"/>
      <c r="B513" s="485"/>
      <c r="C513" s="485"/>
      <c r="D513" s="485"/>
      <c r="E513" s="485"/>
      <c r="F513" s="485"/>
      <c r="G513" s="485"/>
      <c r="H513" s="485"/>
      <c r="I513" s="485"/>
      <c r="J513" s="485"/>
      <c r="K513" s="485"/>
      <c r="L513" s="485"/>
      <c r="M513" s="485"/>
      <c r="N513" s="485"/>
      <c r="O513" s="485"/>
      <c r="P513" s="485"/>
    </row>
    <row r="514" spans="1:16" ht="12.75" x14ac:dyDescent="0.2">
      <c r="A514" s="485"/>
      <c r="B514" s="485"/>
      <c r="C514" s="485"/>
      <c r="D514" s="485"/>
      <c r="E514" s="485"/>
      <c r="F514" s="485"/>
      <c r="G514" s="485"/>
      <c r="H514" s="485"/>
      <c r="I514" s="485"/>
      <c r="J514" s="485"/>
      <c r="K514" s="485"/>
      <c r="L514" s="485"/>
      <c r="M514" s="485"/>
      <c r="N514" s="485"/>
      <c r="O514" s="485"/>
      <c r="P514" s="485"/>
    </row>
    <row r="515" spans="1:16" ht="12.75" x14ac:dyDescent="0.2">
      <c r="A515" s="485"/>
      <c r="B515" s="485"/>
      <c r="C515" s="485"/>
      <c r="D515" s="485"/>
      <c r="E515" s="485"/>
      <c r="F515" s="485"/>
      <c r="G515" s="485"/>
      <c r="H515" s="485"/>
      <c r="I515" s="485"/>
      <c r="J515" s="485"/>
      <c r="K515" s="485"/>
      <c r="L515" s="485"/>
      <c r="M515" s="485"/>
      <c r="N515" s="485"/>
      <c r="O515" s="485"/>
      <c r="P515" s="485"/>
    </row>
    <row r="516" spans="1:16" ht="12.75" x14ac:dyDescent="0.2">
      <c r="A516" s="485"/>
      <c r="B516" s="485"/>
      <c r="C516" s="485"/>
      <c r="D516" s="485"/>
      <c r="E516" s="485"/>
      <c r="F516" s="485"/>
      <c r="G516" s="485"/>
      <c r="H516" s="485"/>
      <c r="I516" s="485"/>
      <c r="J516" s="485"/>
      <c r="K516" s="485"/>
      <c r="L516" s="485"/>
      <c r="M516" s="485"/>
      <c r="N516" s="485"/>
      <c r="O516" s="485"/>
      <c r="P516" s="485"/>
    </row>
    <row r="517" spans="1:16" ht="12.75" x14ac:dyDescent="0.2">
      <c r="A517" s="485"/>
      <c r="B517" s="485"/>
      <c r="C517" s="485"/>
      <c r="D517" s="485"/>
      <c r="E517" s="485"/>
      <c r="F517" s="485"/>
      <c r="G517" s="485"/>
      <c r="H517" s="485"/>
      <c r="I517" s="485"/>
      <c r="J517" s="485"/>
      <c r="K517" s="485"/>
      <c r="L517" s="485"/>
      <c r="M517" s="485"/>
      <c r="N517" s="485"/>
      <c r="O517" s="485"/>
      <c r="P517" s="485"/>
    </row>
    <row r="518" spans="1:16" ht="12.75" x14ac:dyDescent="0.2">
      <c r="A518" s="485"/>
      <c r="B518" s="485"/>
      <c r="C518" s="485"/>
      <c r="D518" s="485"/>
      <c r="E518" s="485"/>
      <c r="F518" s="485"/>
      <c r="G518" s="485"/>
      <c r="H518" s="485"/>
      <c r="I518" s="485"/>
      <c r="J518" s="485"/>
      <c r="K518" s="485"/>
      <c r="L518" s="485"/>
      <c r="M518" s="485"/>
      <c r="N518" s="485"/>
      <c r="O518" s="485"/>
      <c r="P518" s="485"/>
    </row>
    <row r="519" spans="1:16" ht="12.75" x14ac:dyDescent="0.2">
      <c r="A519" s="485"/>
      <c r="B519" s="485"/>
      <c r="C519" s="485"/>
      <c r="D519" s="485"/>
      <c r="E519" s="485"/>
      <c r="F519" s="485"/>
      <c r="G519" s="485"/>
      <c r="H519" s="485"/>
      <c r="I519" s="485"/>
      <c r="J519" s="485"/>
      <c r="K519" s="485"/>
      <c r="L519" s="485"/>
      <c r="M519" s="485"/>
      <c r="N519" s="485"/>
      <c r="O519" s="485"/>
      <c r="P519" s="485"/>
    </row>
    <row r="520" spans="1:16" ht="12.75" x14ac:dyDescent="0.2">
      <c r="A520" s="485"/>
      <c r="B520" s="485"/>
      <c r="C520" s="485"/>
      <c r="D520" s="485"/>
      <c r="E520" s="485"/>
      <c r="F520" s="485"/>
      <c r="G520" s="485"/>
      <c r="H520" s="485"/>
      <c r="I520" s="485"/>
      <c r="J520" s="485"/>
      <c r="K520" s="485"/>
      <c r="L520" s="485"/>
      <c r="M520" s="485"/>
      <c r="N520" s="485"/>
      <c r="O520" s="485"/>
      <c r="P520" s="485"/>
    </row>
    <row r="521" spans="1:16" ht="12.75" x14ac:dyDescent="0.2">
      <c r="A521" s="485"/>
      <c r="B521" s="485"/>
      <c r="C521" s="485"/>
      <c r="D521" s="485"/>
      <c r="E521" s="485"/>
      <c r="F521" s="485"/>
      <c r="G521" s="485"/>
      <c r="H521" s="485"/>
      <c r="I521" s="485"/>
      <c r="J521" s="485"/>
      <c r="K521" s="485"/>
      <c r="L521" s="485"/>
      <c r="M521" s="485"/>
      <c r="N521" s="485"/>
      <c r="O521" s="485"/>
      <c r="P521" s="485"/>
    </row>
    <row r="522" spans="1:16" ht="12.75" x14ac:dyDescent="0.2">
      <c r="A522" s="485"/>
      <c r="B522" s="485"/>
      <c r="C522" s="485"/>
      <c r="D522" s="485"/>
      <c r="E522" s="485"/>
      <c r="F522" s="485"/>
      <c r="G522" s="485"/>
      <c r="H522" s="485"/>
      <c r="I522" s="485"/>
      <c r="J522" s="485"/>
      <c r="K522" s="485"/>
      <c r="L522" s="485"/>
      <c r="M522" s="485"/>
      <c r="N522" s="485"/>
      <c r="O522" s="485"/>
      <c r="P522" s="485"/>
    </row>
    <row r="523" spans="1:16" ht="12.75" x14ac:dyDescent="0.2">
      <c r="A523" s="485"/>
      <c r="B523" s="485"/>
      <c r="C523" s="485"/>
      <c r="D523" s="485"/>
      <c r="E523" s="485"/>
      <c r="F523" s="485"/>
      <c r="G523" s="485"/>
      <c r="H523" s="485"/>
      <c r="I523" s="485"/>
      <c r="J523" s="485"/>
      <c r="K523" s="485"/>
      <c r="L523" s="485"/>
      <c r="M523" s="485"/>
      <c r="N523" s="485"/>
      <c r="O523" s="485"/>
      <c r="P523" s="485"/>
    </row>
    <row r="524" spans="1:16" ht="12.75" x14ac:dyDescent="0.2">
      <c r="A524" s="485"/>
      <c r="B524" s="485"/>
      <c r="C524" s="485"/>
      <c r="D524" s="485"/>
      <c r="E524" s="485"/>
      <c r="F524" s="485"/>
      <c r="G524" s="485"/>
      <c r="H524" s="485"/>
      <c r="I524" s="485"/>
      <c r="J524" s="485"/>
      <c r="K524" s="485"/>
      <c r="L524" s="485"/>
      <c r="M524" s="485"/>
      <c r="N524" s="485"/>
      <c r="O524" s="485"/>
      <c r="P524" s="485"/>
    </row>
    <row r="525" spans="1:16" ht="12.75" x14ac:dyDescent="0.2">
      <c r="A525" s="485"/>
      <c r="B525" s="485"/>
      <c r="C525" s="485"/>
      <c r="D525" s="485"/>
      <c r="E525" s="485"/>
      <c r="F525" s="485"/>
      <c r="G525" s="485"/>
      <c r="H525" s="485"/>
      <c r="I525" s="485"/>
      <c r="J525" s="485"/>
      <c r="K525" s="485"/>
      <c r="L525" s="485"/>
      <c r="M525" s="485"/>
      <c r="N525" s="485"/>
      <c r="O525" s="485"/>
      <c r="P525" s="485"/>
    </row>
    <row r="526" spans="1:16" ht="12.75" x14ac:dyDescent="0.2">
      <c r="A526" s="485"/>
      <c r="B526" s="485"/>
      <c r="C526" s="485"/>
      <c r="D526" s="485"/>
      <c r="E526" s="485"/>
      <c r="F526" s="485"/>
      <c r="G526" s="485"/>
      <c r="H526" s="485"/>
      <c r="I526" s="485"/>
      <c r="J526" s="485"/>
      <c r="K526" s="485"/>
      <c r="L526" s="485"/>
      <c r="M526" s="485"/>
      <c r="N526" s="485"/>
      <c r="O526" s="485"/>
      <c r="P526" s="485"/>
    </row>
    <row r="527" spans="1:16" ht="12.75" x14ac:dyDescent="0.2">
      <c r="A527" s="485"/>
      <c r="B527" s="485"/>
      <c r="C527" s="485"/>
      <c r="D527" s="485"/>
      <c r="E527" s="485"/>
      <c r="F527" s="485"/>
      <c r="G527" s="485"/>
      <c r="H527" s="485"/>
      <c r="I527" s="485"/>
      <c r="J527" s="485"/>
      <c r="K527" s="485"/>
      <c r="L527" s="485"/>
      <c r="M527" s="485"/>
      <c r="N527" s="485"/>
      <c r="O527" s="485"/>
      <c r="P527" s="485"/>
    </row>
    <row r="528" spans="1:16" ht="12.75" x14ac:dyDescent="0.2">
      <c r="A528" s="485"/>
      <c r="B528" s="485"/>
      <c r="C528" s="485"/>
      <c r="D528" s="485"/>
      <c r="E528" s="485"/>
      <c r="F528" s="485"/>
      <c r="G528" s="485"/>
      <c r="H528" s="485"/>
      <c r="I528" s="485"/>
      <c r="J528" s="485"/>
      <c r="K528" s="485"/>
      <c r="L528" s="485"/>
      <c r="M528" s="485"/>
      <c r="N528" s="485"/>
      <c r="O528" s="485"/>
      <c r="P528" s="485"/>
    </row>
    <row r="529" spans="1:16" ht="12.75" x14ac:dyDescent="0.2">
      <c r="A529" s="485"/>
      <c r="B529" s="485"/>
      <c r="C529" s="485"/>
      <c r="D529" s="485"/>
      <c r="E529" s="485"/>
      <c r="F529" s="485"/>
      <c r="G529" s="485"/>
      <c r="H529" s="485"/>
      <c r="I529" s="485"/>
      <c r="J529" s="485"/>
      <c r="K529" s="485"/>
      <c r="L529" s="485"/>
      <c r="M529" s="485"/>
      <c r="N529" s="485"/>
      <c r="O529" s="485"/>
      <c r="P529" s="485"/>
    </row>
    <row r="530" spans="1:16" ht="12.75" x14ac:dyDescent="0.2">
      <c r="A530" s="485"/>
      <c r="B530" s="485"/>
      <c r="C530" s="485"/>
      <c r="D530" s="485"/>
      <c r="E530" s="485"/>
      <c r="F530" s="485"/>
      <c r="G530" s="485"/>
      <c r="H530" s="485"/>
      <c r="I530" s="485"/>
      <c r="J530" s="485"/>
      <c r="K530" s="485"/>
      <c r="L530" s="485"/>
      <c r="M530" s="485"/>
      <c r="N530" s="485"/>
      <c r="O530" s="485"/>
      <c r="P530" s="485"/>
    </row>
    <row r="531" spans="1:16" ht="12.75" x14ac:dyDescent="0.2">
      <c r="A531" s="485"/>
      <c r="B531" s="485"/>
      <c r="C531" s="485"/>
      <c r="D531" s="485"/>
      <c r="E531" s="485"/>
      <c r="F531" s="485"/>
      <c r="G531" s="485"/>
      <c r="H531" s="485"/>
      <c r="I531" s="485"/>
      <c r="J531" s="485"/>
      <c r="K531" s="485"/>
      <c r="L531" s="485"/>
      <c r="M531" s="485"/>
      <c r="N531" s="485"/>
      <c r="O531" s="485"/>
      <c r="P531" s="485"/>
    </row>
    <row r="532" spans="1:16" ht="12.75" x14ac:dyDescent="0.2">
      <c r="A532" s="485"/>
      <c r="B532" s="485"/>
      <c r="C532" s="485"/>
      <c r="D532" s="485"/>
      <c r="E532" s="485"/>
      <c r="F532" s="485"/>
      <c r="G532" s="485"/>
      <c r="H532" s="485"/>
      <c r="I532" s="485"/>
      <c r="J532" s="485"/>
      <c r="K532" s="485"/>
      <c r="L532" s="485"/>
      <c r="M532" s="485"/>
      <c r="N532" s="485"/>
      <c r="O532" s="485"/>
      <c r="P532" s="485"/>
    </row>
    <row r="533" spans="1:16" ht="12.75" x14ac:dyDescent="0.2">
      <c r="A533" s="485"/>
      <c r="B533" s="485"/>
      <c r="C533" s="485"/>
      <c r="D533" s="485"/>
      <c r="E533" s="485"/>
      <c r="F533" s="485"/>
      <c r="G533" s="485"/>
      <c r="H533" s="485"/>
      <c r="I533" s="485"/>
      <c r="J533" s="485"/>
      <c r="K533" s="485"/>
      <c r="L533" s="485"/>
      <c r="M533" s="485"/>
      <c r="N533" s="485"/>
      <c r="O533" s="485"/>
      <c r="P533" s="485"/>
    </row>
    <row r="534" spans="1:16" ht="12.75" x14ac:dyDescent="0.2">
      <c r="A534" s="485"/>
      <c r="B534" s="485"/>
      <c r="C534" s="485"/>
      <c r="D534" s="485"/>
      <c r="E534" s="485"/>
      <c r="F534" s="485"/>
      <c r="G534" s="485"/>
      <c r="H534" s="485"/>
      <c r="I534" s="485"/>
      <c r="J534" s="485"/>
      <c r="K534" s="485"/>
      <c r="L534" s="485"/>
      <c r="M534" s="485"/>
      <c r="N534" s="485"/>
      <c r="O534" s="485"/>
      <c r="P534" s="485"/>
    </row>
    <row r="535" spans="1:16" ht="12.75" x14ac:dyDescent="0.2">
      <c r="A535" s="485"/>
      <c r="B535" s="485"/>
      <c r="C535" s="485"/>
      <c r="D535" s="485"/>
      <c r="E535" s="485"/>
      <c r="F535" s="485"/>
      <c r="G535" s="485"/>
      <c r="H535" s="485"/>
      <c r="I535" s="485"/>
      <c r="J535" s="485"/>
      <c r="K535" s="485"/>
      <c r="L535" s="485"/>
      <c r="M535" s="485"/>
      <c r="N535" s="485"/>
      <c r="O535" s="485"/>
      <c r="P535" s="485"/>
    </row>
    <row r="536" spans="1:16" ht="12.75" x14ac:dyDescent="0.2">
      <c r="A536" s="485"/>
      <c r="B536" s="485"/>
      <c r="C536" s="485"/>
      <c r="D536" s="485"/>
      <c r="E536" s="485"/>
      <c r="F536" s="485"/>
      <c r="G536" s="485"/>
      <c r="H536" s="485"/>
      <c r="I536" s="485"/>
      <c r="J536" s="485"/>
      <c r="K536" s="485"/>
      <c r="L536" s="485"/>
      <c r="M536" s="485"/>
      <c r="N536" s="485"/>
      <c r="O536" s="485"/>
      <c r="P536" s="485"/>
    </row>
    <row r="537" spans="1:16" ht="12.75" x14ac:dyDescent="0.2">
      <c r="A537" s="485"/>
      <c r="B537" s="485"/>
      <c r="C537" s="485"/>
      <c r="D537" s="485"/>
      <c r="E537" s="485"/>
      <c r="F537" s="485"/>
      <c r="G537" s="485"/>
      <c r="H537" s="485"/>
      <c r="I537" s="485"/>
      <c r="J537" s="485"/>
      <c r="K537" s="485"/>
      <c r="L537" s="485"/>
      <c r="M537" s="485"/>
      <c r="N537" s="485"/>
      <c r="O537" s="485"/>
      <c r="P537" s="485"/>
    </row>
    <row r="538" spans="1:16" ht="12.75" x14ac:dyDescent="0.2">
      <c r="A538" s="485"/>
      <c r="B538" s="485"/>
      <c r="C538" s="485"/>
      <c r="D538" s="485"/>
      <c r="E538" s="485"/>
      <c r="F538" s="485"/>
      <c r="G538" s="485"/>
      <c r="H538" s="485"/>
      <c r="I538" s="485"/>
      <c r="J538" s="485"/>
      <c r="K538" s="485"/>
      <c r="L538" s="485"/>
      <c r="M538" s="485"/>
      <c r="N538" s="485"/>
      <c r="O538" s="485"/>
      <c r="P538" s="485"/>
    </row>
    <row r="539" spans="1:16" ht="12.75" x14ac:dyDescent="0.2">
      <c r="A539" s="485"/>
      <c r="B539" s="485"/>
      <c r="C539" s="485"/>
      <c r="D539" s="485"/>
      <c r="E539" s="485"/>
      <c r="F539" s="485"/>
      <c r="G539" s="485"/>
      <c r="H539" s="485"/>
      <c r="I539" s="485"/>
      <c r="J539" s="485"/>
      <c r="K539" s="485"/>
      <c r="L539" s="485"/>
      <c r="M539" s="485"/>
      <c r="N539" s="485"/>
      <c r="O539" s="485"/>
      <c r="P539" s="485"/>
    </row>
    <row r="540" spans="1:16" ht="12.75" x14ac:dyDescent="0.2">
      <c r="A540" s="485"/>
      <c r="B540" s="485"/>
      <c r="C540" s="485"/>
      <c r="D540" s="485"/>
      <c r="E540" s="485"/>
      <c r="F540" s="485"/>
      <c r="G540" s="485"/>
      <c r="H540" s="485"/>
      <c r="I540" s="485"/>
      <c r="J540" s="485"/>
      <c r="K540" s="485"/>
      <c r="L540" s="485"/>
      <c r="M540" s="485"/>
      <c r="N540" s="485"/>
      <c r="O540" s="485"/>
      <c r="P540" s="485"/>
    </row>
    <row r="541" spans="1:16" ht="12.75" x14ac:dyDescent="0.2">
      <c r="A541" s="485"/>
      <c r="B541" s="485"/>
      <c r="C541" s="485"/>
      <c r="D541" s="485"/>
      <c r="E541" s="485"/>
      <c r="F541" s="485"/>
      <c r="G541" s="485"/>
      <c r="H541" s="485"/>
      <c r="I541" s="485"/>
      <c r="J541" s="485"/>
      <c r="K541" s="485"/>
      <c r="L541" s="485"/>
      <c r="M541" s="485"/>
      <c r="N541" s="485"/>
      <c r="O541" s="485"/>
      <c r="P541" s="485"/>
    </row>
    <row r="542" spans="1:16" ht="12.75" x14ac:dyDescent="0.2">
      <c r="A542" s="485"/>
      <c r="B542" s="485"/>
      <c r="C542" s="485"/>
      <c r="D542" s="485"/>
      <c r="E542" s="485"/>
      <c r="F542" s="485"/>
      <c r="G542" s="485"/>
      <c r="H542" s="485"/>
      <c r="I542" s="485"/>
      <c r="J542" s="485"/>
      <c r="K542" s="485"/>
      <c r="L542" s="485"/>
      <c r="M542" s="485"/>
      <c r="N542" s="485"/>
      <c r="O542" s="485"/>
      <c r="P542" s="485"/>
    </row>
    <row r="543" spans="1:16" ht="12.75" x14ac:dyDescent="0.2">
      <c r="A543" s="485"/>
      <c r="B543" s="485"/>
      <c r="C543" s="485"/>
      <c r="D543" s="485"/>
      <c r="E543" s="485"/>
      <c r="F543" s="485"/>
      <c r="G543" s="485"/>
      <c r="H543" s="485"/>
      <c r="I543" s="485"/>
      <c r="J543" s="485"/>
      <c r="K543" s="485"/>
      <c r="L543" s="485"/>
      <c r="M543" s="485"/>
      <c r="N543" s="485"/>
      <c r="O543" s="485"/>
      <c r="P543" s="485"/>
    </row>
    <row r="544" spans="1:16" ht="12.75" x14ac:dyDescent="0.2">
      <c r="A544" s="485"/>
      <c r="B544" s="485"/>
      <c r="C544" s="485"/>
      <c r="D544" s="485"/>
      <c r="E544" s="485"/>
      <c r="F544" s="485"/>
      <c r="G544" s="485"/>
      <c r="H544" s="485"/>
      <c r="I544" s="485"/>
      <c r="J544" s="485"/>
      <c r="K544" s="485"/>
      <c r="L544" s="485"/>
      <c r="M544" s="485"/>
      <c r="N544" s="485"/>
      <c r="O544" s="485"/>
      <c r="P544" s="485"/>
    </row>
    <row r="545" spans="1:16" ht="12.75" x14ac:dyDescent="0.2">
      <c r="A545" s="485"/>
      <c r="B545" s="485"/>
      <c r="C545" s="485"/>
      <c r="D545" s="485"/>
      <c r="E545" s="485"/>
      <c r="F545" s="485"/>
      <c r="G545" s="485"/>
      <c r="H545" s="485"/>
      <c r="I545" s="485"/>
      <c r="J545" s="485"/>
      <c r="K545" s="485"/>
      <c r="L545" s="485"/>
      <c r="M545" s="485"/>
      <c r="N545" s="485"/>
      <c r="O545" s="485"/>
      <c r="P545" s="485"/>
    </row>
  </sheetData>
  <mergeCells count="12">
    <mergeCell ref="L5:M5"/>
    <mergeCell ref="N5:P5"/>
    <mergeCell ref="A1:P1"/>
    <mergeCell ref="A2:P2"/>
    <mergeCell ref="A3:P3"/>
    <mergeCell ref="A5:G6"/>
    <mergeCell ref="I5:K5"/>
    <mergeCell ref="A7:G7"/>
    <mergeCell ref="A17:G17"/>
    <mergeCell ref="A30:G30"/>
    <mergeCell ref="A56:G56"/>
    <mergeCell ref="B57:G57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C3B1A-15E8-4910-A530-991D48B5D100}">
  <sheetPr>
    <outlinePr summaryBelow="0" summaryRight="0"/>
    <pageSetUpPr fitToPage="1"/>
  </sheetPr>
  <dimension ref="A1:P391"/>
  <sheetViews>
    <sheetView view="pageBreakPreview" zoomScale="60" zoomScaleNormal="70" workbookViewId="0">
      <pane xSplit="8" ySplit="17" topLeftCell="I18" activePane="bottomRight" state="frozen"/>
      <selection activeCell="H27" sqref="H27"/>
      <selection pane="topRight" activeCell="H27" sqref="H27"/>
      <selection pane="bottomLeft" activeCell="H27" sqref="H27"/>
      <selection pane="bottomRight" activeCell="H27" sqref="H27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4.42578125" bestFit="1" customWidth="1"/>
    <col min="10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869" t="s">
        <v>0</v>
      </c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  <c r="O1" s="869"/>
      <c r="P1" s="869"/>
    </row>
    <row r="2" spans="1:16" ht="19.5" x14ac:dyDescent="0.3">
      <c r="A2" s="869" t="s">
        <v>160</v>
      </c>
      <c r="B2" s="869"/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  <c r="P2" s="869"/>
    </row>
    <row r="3" spans="1:16" ht="19.5" x14ac:dyDescent="0.3">
      <c r="A3" s="869"/>
      <c r="B3" s="869"/>
      <c r="C3" s="869"/>
      <c r="D3" s="869"/>
      <c r="E3" s="869"/>
      <c r="F3" s="869"/>
      <c r="G3" s="869"/>
      <c r="H3" s="869"/>
      <c r="I3" s="869"/>
      <c r="J3" s="869"/>
      <c r="K3" s="869"/>
      <c r="L3" s="869"/>
      <c r="M3" s="869"/>
      <c r="N3" s="869"/>
      <c r="O3" s="869"/>
      <c r="P3" s="869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1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837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2186265</v>
      </c>
      <c r="M18" s="704">
        <f ca="1">M19+M20</f>
        <v>1829495</v>
      </c>
      <c r="N18" s="704">
        <f ca="1">N19+N20</f>
        <v>741212.48</v>
      </c>
      <c r="O18" s="704">
        <f ca="1">IF(L18&gt;0,N18*100/L18,0)</f>
        <v>33.903139829801056</v>
      </c>
      <c r="P18" s="704">
        <f ca="1">IF(M18&gt;0,N18*100/M18,0)</f>
        <v>40.51459446459269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2186265</v>
      </c>
      <c r="M20" s="817">
        <f ca="1">M23+M26</f>
        <v>1829495</v>
      </c>
      <c r="N20" s="817">
        <f ca="1">N23+N26</f>
        <v>741212.48</v>
      </c>
      <c r="O20" s="817">
        <f ca="1">IF(L20&gt;0,N20*100/L20,0)</f>
        <v>33.903139829801056</v>
      </c>
      <c r="P20" s="817">
        <f ca="1">IF(M20&gt;0,N20*100/M20,0)</f>
        <v>40.51459446459269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2186265</v>
      </c>
      <c r="M21" s="425">
        <f ca="1">M22+M23</f>
        <v>1829495</v>
      </c>
      <c r="N21" s="425">
        <f ca="1">N22+N23</f>
        <v>741212.48</v>
      </c>
      <c r="O21" s="425">
        <f ca="1">IF(L21&gt;0,N21*100/L21,0)</f>
        <v>33.903139829801056</v>
      </c>
      <c r="P21" s="425">
        <f ca="1">IF(M21&gt;0,N21*100/M21,0)</f>
        <v>40.51459446459269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2186265</v>
      </c>
      <c r="M23" s="425">
        <f ca="1">M49+M64+M77+M99+M130+M144+M162+M191+M178+M271+M287+M308+M325+M338+M361+M382</f>
        <v>1829495</v>
      </c>
      <c r="N23" s="425">
        <f ca="1">N49+N64+N77+N99+N130+N144+N162+N191+N178+N271+N287+N308+N325+N338+N361+N382</f>
        <v>741212.48</v>
      </c>
      <c r="O23" s="425">
        <f ca="1">IF(L23&gt;0,N23*100/L23,0)</f>
        <v>33.903139829801056</v>
      </c>
      <c r="P23" s="425">
        <f ca="1">IF(M23&gt;0,N23*100/M23,0)</f>
        <v>40.51459446459269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2.75" hidden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2186265</v>
      </c>
      <c r="M40" s="809">
        <f ca="1">M44+M59+M72+M94+M125+M139+M157+M173+M186+M266+M282+M303+M320+M333+M356</f>
        <v>1829495</v>
      </c>
      <c r="N40" s="809">
        <f ca="1">N44+N59+N72+N94+N125+N139+N157+N173+N186+N266+N282+N303+N320+N333+N356</f>
        <v>741212.48</v>
      </c>
      <c r="O40" s="809">
        <f ca="1">IF(L40&gt;0,N40*100/L40,0)</f>
        <v>33.903139829801056</v>
      </c>
      <c r="P40" s="809">
        <f ca="1">IF(M40&gt;0,N40*100/M40,0)</f>
        <v>40.51459446459269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501570</v>
      </c>
      <c r="M44" s="794">
        <f ca="1">M45+M46</f>
        <v>508140</v>
      </c>
      <c r="N44" s="794">
        <f ca="1">N45+N46</f>
        <v>250215.16</v>
      </c>
      <c r="O44" s="794">
        <f ca="1">IF(L44&gt;0,N44*100/L44,0)</f>
        <v>49.886388739358416</v>
      </c>
      <c r="P44" s="794">
        <f ca="1">IF(M44&gt;0,N44*100/M44,0)</f>
        <v>49.24138229621758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501570</v>
      </c>
      <c r="M46" s="783">
        <f ca="1">M49+M52</f>
        <v>508140</v>
      </c>
      <c r="N46" s="783">
        <f ca="1">N49+N52</f>
        <v>250215.16</v>
      </c>
      <c r="O46" s="783">
        <f ca="1">IF(L46&gt;0,N46*100/L46,0)</f>
        <v>49.886388739358416</v>
      </c>
      <c r="P46" s="783">
        <f ca="1">IF(M46&gt;0,N46*100/M46,0)</f>
        <v>49.24138229621758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501570</v>
      </c>
      <c r="M47" s="425">
        <f ca="1">M48+M49</f>
        <v>508140</v>
      </c>
      <c r="N47" s="425">
        <f ca="1">N48+N49</f>
        <v>250215.16</v>
      </c>
      <c r="O47" s="425">
        <f ca="1">IF(L47&gt;0,N47*100/L47,0)</f>
        <v>49.886388739358416</v>
      </c>
      <c r="P47" s="425">
        <f ca="1">IF(M47&gt;0,N47*100/M47,0)</f>
        <v>49.24138229621758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IFERROR(__xludf.DUMMYFUNCTION("IMPORTRANGE(""https://docs.google.com/spreadsheets/d/1-uDff_7J0KD5mKrp0Vvzr7lt3OU09vwQwhkpOPPYv2Y/edit?usp=sharing"",""งบพรบ!P32"")"),501570)</f>
        <v>501570</v>
      </c>
      <c r="M49" s="425">
        <f ca="1">IFERROR(__xludf.DUMMYFUNCTION("IMPORTRANGE(""https://docs.google.com/spreadsheets/d/1-uDff_7J0KD5mKrp0Vvzr7lt3OU09vwQwhkpOPPYv2Y/edit?usp=sharing"",""งบพรบ!V32"")"),508140)</f>
        <v>508140</v>
      </c>
      <c r="N49" s="425">
        <f ca="1">IFERROR(__xludf.DUMMYFUNCTION("IMPORTRANGE(""https://docs.google.com/spreadsheets/d/1-uDff_7J0KD5mKrp0Vvzr7lt3OU09vwQwhkpOPPYv2Y/edit?usp=sharing"",""งบพรบ!Y32"")"),250215.16)</f>
        <v>250215.16</v>
      </c>
      <c r="O49" s="425">
        <f ca="1">IF(L49&gt;0,N49*100/L49,0)</f>
        <v>49.886388739358416</v>
      </c>
      <c r="P49" s="425">
        <f ca="1">IF(M49&gt;0,N49*100/M49,0)</f>
        <v>49.24138229621758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IFERROR(__xludf.DUMMYFUNCTION("IMPORTRANGE(""https://docs.google.com/spreadsheets/d/1-uDff_7J0KD5mKrp0Vvzr7lt3OU09vwQwhkpOPPYv2Y/edit?usp=sharing"",""งบพรบ!S32"")"),0)</f>
        <v>0</v>
      </c>
      <c r="M52" s="425">
        <f ca="1">IFERROR(__xludf.DUMMYFUNCTION("IMPORTRANGE(""https://docs.google.com/spreadsheets/d/1-uDff_7J0KD5mKrp0Vvzr7lt3OU09vwQwhkpOPPYv2Y/edit?usp=sharing"",""งบพรบ!W32"")"),0)</f>
        <v>0</v>
      </c>
      <c r="N52" s="425">
        <f ca="1">IFERROR(__xludf.DUMMYFUNCTION("IMPORTRANGE(""https://docs.google.com/spreadsheets/d/1-uDff_7J0KD5mKrp0Vvzr7lt3OU09vwQwhkpOPPYv2Y/edit?usp=sharing"",""งบพรบ!Z32"")"),0)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515000</v>
      </c>
      <c r="M59" s="763">
        <f ca="1">M60+M61</f>
        <v>388450</v>
      </c>
      <c r="N59" s="763">
        <f ca="1">N60+N61</f>
        <v>251406.06</v>
      </c>
      <c r="O59" s="763">
        <f ca="1">IF(L59&gt;0,N59*100/L59,0)</f>
        <v>48.816710679611653</v>
      </c>
      <c r="P59" s="763">
        <f ca="1">IF(M59&gt;0,N59*100/M59,0)</f>
        <v>64.720314068734709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515000</v>
      </c>
      <c r="M61" s="752">
        <f ca="1">M64+M67</f>
        <v>388450</v>
      </c>
      <c r="N61" s="752">
        <f ca="1">N64+N67</f>
        <v>251406.06</v>
      </c>
      <c r="O61" s="752">
        <f ca="1">IF(L61&gt;0,N61*100/L61,0)</f>
        <v>48.816710679611653</v>
      </c>
      <c r="P61" s="752">
        <f ca="1">IF(M61&gt;0,N61*100/M61,0)</f>
        <v>64.720314068734709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515000</v>
      </c>
      <c r="M62" s="425">
        <f ca="1">M63+M64</f>
        <v>388450</v>
      </c>
      <c r="N62" s="425">
        <f ca="1">N63+N64</f>
        <v>251406.06</v>
      </c>
      <c r="O62" s="425">
        <f ca="1">IF(L62&gt;0,N62*100/L62,0)</f>
        <v>48.816710679611653</v>
      </c>
      <c r="P62" s="425">
        <f ca="1">IF(M62&gt;0,N62*100/M62,0)</f>
        <v>64.720314068734709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IFERROR(__xludf.DUMMYFUNCTION("IMPORTRANGE(""https://docs.google.com/spreadsheets/d/1-uDff_7J0KD5mKrp0Vvzr7lt3OU09vwQwhkpOPPYv2Y/edit?usp=sharing"",""งบพรบ!AC32"")"),515000)</f>
        <v>515000</v>
      </c>
      <c r="M64" s="425">
        <f ca="1">IFERROR(__xludf.DUMMYFUNCTION("IMPORTRANGE(""https://docs.google.com/spreadsheets/d/1-uDff_7J0KD5mKrp0Vvzr7lt3OU09vwQwhkpOPPYv2Y/edit?usp=sharing"",""งบพรบ!AH32"")"),388450)</f>
        <v>388450</v>
      </c>
      <c r="N64" s="425">
        <f ca="1">IFERROR(__xludf.DUMMYFUNCTION("IMPORTRANGE(""https://docs.google.com/spreadsheets/d/1-uDff_7J0KD5mKrp0Vvzr7lt3OU09vwQwhkpOPPYv2Y/edit?usp=sharing"",""งบพรบ!AJ32"")"),251406.06)</f>
        <v>251406.06</v>
      </c>
      <c r="O64" s="425">
        <f ca="1">IF(L64&gt;0,N64*100/L64,0)</f>
        <v>48.816710679611653</v>
      </c>
      <c r="P64" s="425">
        <f ca="1">IF(M64&gt;0,N64*100/M64,0)</f>
        <v>64.720314068734709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IFERROR(__xludf.DUMMYFUNCTION("IMPORTRANGE(""https://docs.google.com/spreadsheets/d/1-uDff_7J0KD5mKrp0Vvzr7lt3OU09vwQwhkpOPPYv2Y/edit?usp=sharing"",""งบพรบ!AF32"")"),0)</f>
        <v>0</v>
      </c>
      <c r="M67" s="747">
        <f ca="1">IFERROR(__xludf.DUMMYFUNCTION("IMPORTRANGE(""https://docs.google.com/spreadsheets/d/1-uDff_7J0KD5mKrp0Vvzr7lt3OU09vwQwhkpOPPYv2Y/edit?usp=sharing"",""งบพรบ!AI32"")"),0)</f>
        <v>0</v>
      </c>
      <c r="N67" s="747">
        <f ca="1">IFERROR(__xludf.DUMMYFUNCTION("IMPORTRANGE(""https://docs.google.com/spreadsheets/d/1-uDff_7J0KD5mKrp0Vvzr7lt3OU09vwQwhkpOPPYv2Y/edit?usp=sharing"",""งบพรบ!AK32"")"),0)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19.5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hidden="1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hidden="1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0</v>
      </c>
      <c r="J70" s="705">
        <f>J82</f>
        <v>0</v>
      </c>
      <c r="K70" s="704">
        <f ca="1">IF(I70&gt;0,J70*100/I70,0)</f>
        <v>0</v>
      </c>
      <c r="L70" s="703"/>
      <c r="M70" s="703"/>
      <c r="N70" s="703"/>
      <c r="O70" s="703"/>
      <c r="P70" s="703"/>
    </row>
    <row r="71" spans="1:16" ht="19.5" hidden="1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0</v>
      </c>
      <c r="J71" s="705">
        <f>J83</f>
        <v>0</v>
      </c>
      <c r="K71" s="704">
        <f ca="1">IF(I71&gt;0,J71*100/I71,0)</f>
        <v>0</v>
      </c>
      <c r="L71" s="703"/>
      <c r="M71" s="703"/>
      <c r="N71" s="703"/>
      <c r="O71" s="703"/>
      <c r="P71" s="703"/>
    </row>
    <row r="72" spans="1:16" ht="19.5" hidden="1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0</v>
      </c>
      <c r="M72" s="577">
        <f ca="1">M73+M74</f>
        <v>0</v>
      </c>
      <c r="N72" s="577">
        <f ca="1">N73+N74</f>
        <v>0</v>
      </c>
      <c r="O72" s="577">
        <f ca="1">IF(L72&gt;0,N72*100/L72,0)</f>
        <v>0</v>
      </c>
      <c r="P72" s="577">
        <f ca="1">IF(M72&gt;0,N72*100/M72,0)</f>
        <v>0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hidden="1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hidden="1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IFERROR(__xludf.DUMMYFUNCTION("IMPORTRANGE(""https://docs.google.com/spreadsheets/d/1-uDff_7J0KD5mKrp0Vvzr7lt3OU09vwQwhkpOPPYv2Y/edit?usp=sharing"",""งบพรบ!AM32"")"),0)</f>
        <v>0</v>
      </c>
      <c r="M77" s="425">
        <f ca="1">IFERROR(__xludf.DUMMYFUNCTION("IMPORTRANGE(""https://docs.google.com/spreadsheets/d/1-uDff_7J0KD5mKrp0Vvzr7lt3OU09vwQwhkpOPPYv2Y/edit?usp=sharing"",""งบพรบ!AR32"")"),0)</f>
        <v>0</v>
      </c>
      <c r="N77" s="425">
        <f ca="1">IFERROR(__xludf.DUMMYFUNCTION("IMPORTRANGE(""https://docs.google.com/spreadsheets/d/1-uDff_7J0KD5mKrp0Vvzr7lt3OU09vwQwhkpOPPYv2Y/edit?usp=sharing"",""งบพรบ!AT32"")"),0)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hidden="1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IFERROR(__xludf.DUMMYFUNCTION("IMPORTRANGE(""https://docs.google.com/spreadsheets/d/1-uDff_7J0KD5mKrp0Vvzr7lt3OU09vwQwhkpOPPYv2Y/edit?usp=sharing"",""งบพรบ!AP32"")"),0)</f>
        <v>0</v>
      </c>
      <c r="M80" s="425">
        <f ca="1">IFERROR(__xludf.DUMMYFUNCTION("IMPORTRANGE(""https://docs.google.com/spreadsheets/d/1-uDff_7J0KD5mKrp0Vvzr7lt3OU09vwQwhkpOPPYv2Y/edit?usp=sharing"",""งบพรบ!AS32"")"),0)</f>
        <v>0</v>
      </c>
      <c r="N80" s="425">
        <f ca="1">IFERROR(__xludf.DUMMYFUNCTION("IMPORTRANGE(""https://docs.google.com/spreadsheets/d/1-uDff_7J0KD5mKrp0Vvzr7lt3OU09vwQwhkpOPPYv2Y/edit?usp=sharing"",""งบพรบ!AU32"")"),0)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hidden="1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0</v>
      </c>
      <c r="J82" s="625">
        <f>J84+J86+J88</f>
        <v>0</v>
      </c>
      <c r="K82" s="624">
        <f ca="1">IF(I82&gt;0,J82*100/I82,0)</f>
        <v>0</v>
      </c>
      <c r="L82" s="525"/>
      <c r="M82" s="525"/>
      <c r="N82" s="525"/>
      <c r="O82" s="525"/>
      <c r="P82" s="525"/>
    </row>
    <row r="83" spans="1:16" ht="19.5" hidden="1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0</v>
      </c>
      <c r="J83" s="625">
        <f>J85+J87+J89</f>
        <v>0</v>
      </c>
      <c r="K83" s="624">
        <f ca="1">IF(I83&gt;0,J83*100/I83,0)</f>
        <v>0</v>
      </c>
      <c r="L83" s="525"/>
      <c r="M83" s="525"/>
      <c r="N83" s="525"/>
      <c r="O83" s="525"/>
      <c r="P83" s="525"/>
    </row>
    <row r="84" spans="1:16" ht="18.75" hidden="1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IFERROR(__xludf.DUMMYFUNCTION("IMPORTRANGE(""https://docs.google.com/spreadsheets/d/1eHaY18a8A9IcSdp1K8H6x8fbOy06t2VsZHhMHf-1x7Y/edit?usp=sharing"",""แผน!H32"")"),0)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hidden="1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IFERROR(__xludf.DUMMYFUNCTION("IMPORTRANGE(""https://docs.google.com/spreadsheets/d/1eHaY18a8A9IcSdp1K8H6x8fbOy06t2VsZHhMHf-1x7Y/edit?usp=sharing"",""แผน!I32"")"),0)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hidden="1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IFERROR(__xludf.DUMMYFUNCTION("IMPORTRANGE(""https://docs.google.com/spreadsheets/d/1eHaY18a8A9IcSdp1K8H6x8fbOy06t2VsZHhMHf-1x7Y/edit?usp=sharing"",""แผน!F32"")"),0)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hidden="1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IFERROR(__xludf.DUMMYFUNCTION("IMPORTRANGE(""https://docs.google.com/spreadsheets/d/1eHaY18a8A9IcSdp1K8H6x8fbOy06t2VsZHhMHf-1x7Y/edit?usp=sharing"",""แผน!G32"")"),0)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hidden="1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IFERROR(__xludf.DUMMYFUNCTION("IMPORTRANGE(""https://docs.google.com/spreadsheets/d/1eHaY18a8A9IcSdp1K8H6x8fbOy06t2VsZHhMHf-1x7Y/edit?usp=sharing"",""แผน!D32"")"),0)</f>
        <v>0</v>
      </c>
      <c r="J88" s="595">
        <v>0</v>
      </c>
      <c r="K88" s="621">
        <f ca="1">IF(I88&gt;0,J88*100/I88,0)</f>
        <v>0</v>
      </c>
      <c r="L88" s="525"/>
      <c r="M88" s="525"/>
      <c r="N88" s="525"/>
      <c r="O88" s="525"/>
      <c r="P88" s="525"/>
    </row>
    <row r="89" spans="1:16" ht="18.75" hidden="1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IFERROR(__xludf.DUMMYFUNCTION("IMPORTRANGE(""https://docs.google.com/spreadsheets/d/1eHaY18a8A9IcSdp1K8H6x8fbOy06t2VsZHhMHf-1x7Y/edit?usp=sharing"",""แผน!E32"")"),0)</f>
        <v>0</v>
      </c>
      <c r="J89" s="595">
        <v>0</v>
      </c>
      <c r="K89" s="621">
        <f ca="1">IF(I89&gt;0,J89*100/I89,0)</f>
        <v>0</v>
      </c>
      <c r="L89" s="525"/>
      <c r="M89" s="525"/>
      <c r="N89" s="525"/>
      <c r="O89" s="525"/>
      <c r="P89" s="525"/>
    </row>
    <row r="90" spans="1:16" ht="18.75" hidden="1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IFERROR(__xludf.DUMMYFUNCTION("IMPORTRANGE(""https://docs.google.com/spreadsheets/d/1eHaY18a8A9IcSdp1K8H6x8fbOy06t2VsZHhMHf-1x7Y/edit?usp=sharing"",""แผน!J32"")"),0)</f>
        <v>0</v>
      </c>
      <c r="J90" s="595">
        <v>0</v>
      </c>
      <c r="K90" s="621">
        <f ca="1">IF(I90&gt;0,J90*100/I90,0)</f>
        <v>0</v>
      </c>
      <c r="L90" s="525"/>
      <c r="M90" s="525"/>
      <c r="N90" s="525"/>
      <c r="O90" s="525"/>
      <c r="P90" s="525"/>
    </row>
    <row r="91" spans="1:16" ht="19.5" hidden="1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hidden="1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0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hidden="1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0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hidden="1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0</v>
      </c>
      <c r="M94" s="577">
        <f ca="1">M95+M96</f>
        <v>0</v>
      </c>
      <c r="N94" s="577">
        <f ca="1">N95+N96</f>
        <v>0</v>
      </c>
      <c r="O94" s="577">
        <f ca="1">IF(L94&gt;0,N94*100/L94,0)</f>
        <v>0</v>
      </c>
      <c r="P94" s="577">
        <f ca="1">IF(M94&gt;0,N94*100/M94,0)</f>
        <v>0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hidden="1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hidden="1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IFERROR(__xludf.DUMMYFUNCTION("IMPORTRANGE(""https://docs.google.com/spreadsheets/d/1-uDff_7J0KD5mKrp0Vvzr7lt3OU09vwQwhkpOPPYv2Y/edit?usp=sharing"",""งบพรบ!AW32"")"),0)</f>
        <v>0</v>
      </c>
      <c r="M99" s="425">
        <f ca="1">IFERROR(__xludf.DUMMYFUNCTION("IMPORTRANGE(""https://docs.google.com/spreadsheets/d/1-uDff_7J0KD5mKrp0Vvzr7lt3OU09vwQwhkpOPPYv2Y/edit?usp=sharing"",""งบพรบ!BB32"")"),0)</f>
        <v>0</v>
      </c>
      <c r="N99" s="425">
        <f ca="1">IFERROR(__xludf.DUMMYFUNCTION("IMPORTRANGE(""https://docs.google.com/spreadsheets/d/1-uDff_7J0KD5mKrp0Vvzr7lt3OU09vwQwhkpOPPYv2Y/edit?usp=sharing"",""งบพรบ!BD32"")"),0)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hidden="1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IFERROR(__xludf.DUMMYFUNCTION("IMPORTRANGE(""https://docs.google.com/spreadsheets/d/1-uDff_7J0KD5mKrp0Vvzr7lt3OU09vwQwhkpOPPYv2Y/edit?usp=sharing"",""งบพรบ!AZ32"")"),0)</f>
        <v>0</v>
      </c>
      <c r="M102" s="425">
        <f ca="1">IFERROR(__xludf.DUMMYFUNCTION("IMPORTRANGE(""https://docs.google.com/spreadsheets/d/1-uDff_7J0KD5mKrp0Vvzr7lt3OU09vwQwhkpOPPYv2Y/edit?usp=sharing"",""งบพรบ!BC32"")"),0)</f>
        <v>0</v>
      </c>
      <c r="N102" s="425">
        <f ca="1">IFERROR(__xludf.DUMMYFUNCTION("IMPORTRANGE(""https://docs.google.com/spreadsheets/d/1-uDff_7J0KD5mKrp0Vvzr7lt3OU09vwQwhkpOPPYv2Y/edit?usp=sharing"",""งบพรบ!BE32"")"),0)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hidden="1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hidden="1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IFERROR(__xludf.DUMMYFUNCTION("IMPORTRANGE(""https://docs.google.com/spreadsheets/d/1eHaY18a8A9IcSdp1K8H6x8fbOy06t2VsZHhMHf-1x7Y/edit?usp=sharing"",""แผน!N32"")"),0)</f>
        <v>0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hidden="1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IFERROR(__xludf.DUMMYFUNCTION("IMPORTRANGE(""https://docs.google.com/spreadsheets/d/1eHaY18a8A9IcSdp1K8H6x8fbOy06t2VsZHhMHf-1x7Y/edit?usp=sharing"",""แผน!O32"")"),0)</f>
        <v>0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hidden="1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IFERROR(__xludf.DUMMYFUNCTION("IMPORTRANGE(""https://docs.google.com/spreadsheets/d/1eHaY18a8A9IcSdp1K8H6x8fbOy06t2VsZHhMHf-1x7Y/edit?usp=sharing"",""แผน!R32"")"),0)</f>
        <v>0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IFERROR(__xludf.DUMMYFUNCTION("IMPORTRANGE(""https://docs.google.com/spreadsheets/d/1-uDff_7J0KD5mKrp0Vvzr7lt3OU09vwQwhkpOPPYv2Y/edit?usp=sharing"",""งบพรบ!BG32"")"),0)</f>
        <v>0</v>
      </c>
      <c r="M130" s="723">
        <f ca="1">IFERROR(__xludf.DUMMYFUNCTION("IMPORTRANGE(""https://docs.google.com/spreadsheets/d/1-uDff_7J0KD5mKrp0Vvzr7lt3OU09vwQwhkpOPPYv2Y/edit?usp=sharing"",""งบพรบ!BL32"")"),0)</f>
        <v>0</v>
      </c>
      <c r="N130" s="723">
        <f ca="1">IFERROR(__xludf.DUMMYFUNCTION("IMPORTRANGE(""https://docs.google.com/spreadsheets/d/1-uDff_7J0KD5mKrp0Vvzr7lt3OU09vwQwhkpOPPYv2Y/edit?usp=sharing"",""งบพรบ!BN32"")"),0)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IFERROR(__xludf.DUMMYFUNCTION("IMPORTRANGE(""https://docs.google.com/spreadsheets/d/1-uDff_7J0KD5mKrp0Vvzr7lt3OU09vwQwhkpOPPYv2Y/edit?usp=sharing"",""งบพรบ!BJ32"")"),0)</f>
        <v>0</v>
      </c>
      <c r="M133" s="723">
        <f ca="1">IFERROR(__xludf.DUMMYFUNCTION("IMPORTRANGE(""https://docs.google.com/spreadsheets/d/1-uDff_7J0KD5mKrp0Vvzr7lt3OU09vwQwhkpOPPYv2Y/edit?usp=sharing"",""งบพรบ!BM32"")"),0)</f>
        <v>0</v>
      </c>
      <c r="N133" s="723">
        <f ca="1">IFERROR(__xludf.DUMMYFUNCTION("IMPORTRANGE(""https://docs.google.com/spreadsheets/d/1-uDff_7J0KD5mKrp0Vvzr7lt3OU09vwQwhkpOPPYv2Y/edit?usp=sharing"",""งบพรบ!BO32"")"),0)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hidden="1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hidden="1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hidden="1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0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hidden="1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0</v>
      </c>
      <c r="J137" s="705">
        <f>J152</f>
        <v>0</v>
      </c>
      <c r="K137" s="704">
        <f ca="1">IF(I137&gt;0,J137*100/I137,0)</f>
        <v>0</v>
      </c>
      <c r="L137" s="703"/>
      <c r="M137" s="703"/>
      <c r="N137" s="703"/>
      <c r="O137" s="703"/>
      <c r="P137" s="703"/>
    </row>
    <row r="138" spans="1:16" ht="19.5" hidden="1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0</v>
      </c>
      <c r="J138" s="705">
        <f>J153</f>
        <v>0</v>
      </c>
      <c r="K138" s="704">
        <f ca="1">IF(I138&gt;0,J138*100/I138,0)</f>
        <v>0</v>
      </c>
      <c r="L138" s="703"/>
      <c r="M138" s="703"/>
      <c r="N138" s="703"/>
      <c r="O138" s="703"/>
      <c r="P138" s="703"/>
    </row>
    <row r="139" spans="1:16" ht="19.5" hidden="1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0</v>
      </c>
      <c r="M139" s="577">
        <f ca="1">M140+M141</f>
        <v>0</v>
      </c>
      <c r="N139" s="577">
        <f ca="1">N140+N141</f>
        <v>0</v>
      </c>
      <c r="O139" s="577">
        <f ca="1">IF(L139&gt;0,N139*100/L139,0)</f>
        <v>0</v>
      </c>
      <c r="P139" s="577">
        <f ca="1">IF(M139&gt;0,N139*100/M139,0)</f>
        <v>0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hidden="1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0</v>
      </c>
      <c r="M141" s="425">
        <f ca="1">M144+M147</f>
        <v>0</v>
      </c>
      <c r="N141" s="425">
        <f ca="1">N144+N147</f>
        <v>0</v>
      </c>
      <c r="O141" s="425">
        <f ca="1">IF(L141&gt;0,N141*100/L141,0)</f>
        <v>0</v>
      </c>
      <c r="P141" s="425">
        <f ca="1">IF(M141&gt;0,N141*100/M141,0)</f>
        <v>0</v>
      </c>
    </row>
    <row r="142" spans="1:16" ht="18.75" hidden="1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0</v>
      </c>
      <c r="M142" s="425">
        <f ca="1">M143+M144</f>
        <v>0</v>
      </c>
      <c r="N142" s="425">
        <f ca="1">N143+N144</f>
        <v>0</v>
      </c>
      <c r="O142" s="425">
        <f ca="1">IF(L142&gt;0,N142*100/L142,0)</f>
        <v>0</v>
      </c>
      <c r="P142" s="425">
        <f ca="1">IF(M142&gt;0,N142*100/M142,0)</f>
        <v>0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hidden="1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IFERROR(__xludf.DUMMYFUNCTION("IMPORTRANGE(""https://docs.google.com/spreadsheets/d/1-uDff_7J0KD5mKrp0Vvzr7lt3OU09vwQwhkpOPPYv2Y/edit?usp=sharing"",""งบพรบ!BQ32"")"),0)</f>
        <v>0</v>
      </c>
      <c r="M144" s="425">
        <f ca="1">IFERROR(__xludf.DUMMYFUNCTION("IMPORTRANGE(""https://docs.google.com/spreadsheets/d/1-uDff_7J0KD5mKrp0Vvzr7lt3OU09vwQwhkpOPPYv2Y/edit?usp=sharing"",""งบพรบ!BV32"")"),0)</f>
        <v>0</v>
      </c>
      <c r="N144" s="425">
        <f ca="1">IFERROR(__xludf.DUMMYFUNCTION("IMPORTRANGE(""https://docs.google.com/spreadsheets/d/1-uDff_7J0KD5mKrp0Vvzr7lt3OU09vwQwhkpOPPYv2Y/edit?usp=sharing"",""งบพรบ!BX32"")"),0)</f>
        <v>0</v>
      </c>
      <c r="O144" s="425">
        <f ca="1">IF(L144&gt;0,N144*100/L144,0)</f>
        <v>0</v>
      </c>
      <c r="P144" s="425">
        <f ca="1">IF(M144&gt;0,N144*100/M144,0)</f>
        <v>0</v>
      </c>
    </row>
    <row r="145" spans="1:16" ht="18.75" hidden="1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hidden="1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IFERROR(__xludf.DUMMYFUNCTION("IMPORTRANGE(""https://docs.google.com/spreadsheets/d/1-uDff_7J0KD5mKrp0Vvzr7lt3OU09vwQwhkpOPPYv2Y/edit?usp=sharing"",""งบพรบ!BT32"")"),0)</f>
        <v>0</v>
      </c>
      <c r="M147" s="425">
        <f ca="1">IFERROR(__xludf.DUMMYFUNCTION("IMPORTRANGE(""https://docs.google.com/spreadsheets/d/1-uDff_7J0KD5mKrp0Vvzr7lt3OU09vwQwhkpOPPYv2Y/edit?usp=sharing"",""งบพรบ!BW32"")"),0)</f>
        <v>0</v>
      </c>
      <c r="N147" s="425">
        <f ca="1">IFERROR(__xludf.DUMMYFUNCTION("IMPORTRANGE(""https://docs.google.com/spreadsheets/d/1-uDff_7J0KD5mKrp0Vvzr7lt3OU09vwQwhkpOPPYv2Y/edit?usp=sharing"",""งบพรบ!BY32"")"),0)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hidden="1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hidden="1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hidden="1" x14ac:dyDescent="0.3">
      <c r="A150" s="535"/>
      <c r="B150" s="418"/>
      <c r="C150" s="418"/>
      <c r="D150" s="420"/>
      <c r="E150" s="570" t="s">
        <v>159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IFERROR(__xludf.DUMMYFUNCTION("IMPORTRANGE(""https://docs.google.com/spreadsheets/d/1eHaY18a8A9IcSdp1K8H6x8fbOy06t2VsZHhMHf-1x7Y/edit?usp=sharing"",""แผน!U32"")"),0)</f>
        <v>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hidden="1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IFERROR(__xludf.DUMMYFUNCTION("IMPORTRANGE(""https://docs.google.com/spreadsheets/d/1eHaY18a8A9IcSdp1K8H6x8fbOy06t2VsZHhMHf-1x7Y/edit?usp=sharing"",""แผน!V32"")"),0)</f>
        <v>0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hidden="1" x14ac:dyDescent="0.3">
      <c r="A152" s="535"/>
      <c r="B152" s="418"/>
      <c r="C152" s="418"/>
      <c r="D152" s="420"/>
      <c r="E152" s="570" t="s">
        <v>158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IFERROR(__xludf.DUMMYFUNCTION("IMPORTRANGE(""https://docs.google.com/spreadsheets/d/1eHaY18a8A9IcSdp1K8H6x8fbOy06t2VsZHhMHf-1x7Y/edit?usp=sharing"",""แผน!W32"")"),0)</f>
        <v>0</v>
      </c>
      <c r="J152" s="595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hidden="1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IFERROR(__xludf.DUMMYFUNCTION("IMPORTRANGE(""https://docs.google.com/spreadsheets/d/1eHaY18a8A9IcSdp1K8H6x8fbOy06t2VsZHhMHf-1x7Y/edit?usp=sharing"",""แผน!X32"")"),0)</f>
        <v>0</v>
      </c>
      <c r="J153" s="595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hidden="1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IFERROR(__xludf.DUMMYFUNCTION("IMPORTRANGE(""https://docs.google.com/spreadsheets/d/1eHaY18a8A9IcSdp1K8H6x8fbOy06t2VsZHhMHf-1x7Y/edit?usp=sharing"",""แผน!Y32"")"),0)</f>
        <v>0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I167</f>
        <v>10</v>
      </c>
      <c r="J156" s="705">
        <f>J167</f>
        <v>0</v>
      </c>
      <c r="K156" s="704">
        <f ca="1">IF(I156&gt;0,J156*100/I156,0)</f>
        <v>0</v>
      </c>
      <c r="L156" s="703"/>
      <c r="M156" s="703"/>
      <c r="N156" s="703"/>
      <c r="O156" s="703"/>
      <c r="P156" s="703"/>
    </row>
    <row r="157" spans="1:16" ht="19.5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3000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3000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3000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IFERROR(__xludf.DUMMYFUNCTION("IMPORTRANGE(""https://docs.google.com/spreadsheets/d/1-uDff_7J0KD5mKrp0Vvzr7lt3OU09vwQwhkpOPPYv2Y/edit?usp=sharing"",""งบพรบ!CA32"")"),3000)</f>
        <v>3000</v>
      </c>
      <c r="M162" s="425">
        <f ca="1">IFERROR(__xludf.DUMMYFUNCTION("IMPORTRANGE(""https://docs.google.com/spreadsheets/d/1-uDff_7J0KD5mKrp0Vvzr7lt3OU09vwQwhkpOPPYv2Y/edit?usp=sharing"",""งบพรบ!CF32"")"),0)</f>
        <v>0</v>
      </c>
      <c r="N162" s="425">
        <f ca="1">IFERROR(__xludf.DUMMYFUNCTION("IMPORTRANGE(""https://docs.google.com/spreadsheets/d/1-uDff_7J0KD5mKrp0Vvzr7lt3OU09vwQwhkpOPPYv2Y/edit?usp=sharing"",""งบพรบ!CH32"")"),0)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IFERROR(__xludf.DUMMYFUNCTION("IMPORTRANGE(""https://docs.google.com/spreadsheets/d/1-uDff_7J0KD5mKrp0Vvzr7lt3OU09vwQwhkpOPPYv2Y/edit?usp=sharing"",""งบพรบ!CD32"")"),0)</f>
        <v>0</v>
      </c>
      <c r="M165" s="425">
        <f ca="1">IFERROR(__xludf.DUMMYFUNCTION("IMPORTRANGE(""https://docs.google.com/spreadsheets/d/1-uDff_7J0KD5mKrp0Vvzr7lt3OU09vwQwhkpOPPYv2Y/edit?usp=sharing"",""งบพรบ!CG32"")"),0)</f>
        <v>0</v>
      </c>
      <c r="N165" s="425">
        <f ca="1">IFERROR(__xludf.DUMMYFUNCTION("IMPORTRANGE(""https://docs.google.com/spreadsheets/d/1-uDff_7J0KD5mKrp0Vvzr7lt3OU09vwQwhkpOPPYv2Y/edit?usp=sharing"",""งบพรบ!CI32"")"),0)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IFERROR(__xludf.DUMMYFUNCTION("IMPORTRANGE(""https://docs.google.com/spreadsheets/d/1eHaY18a8A9IcSdp1K8H6x8fbOy06t2VsZHhMHf-1x7Y/edit?usp=sharing"",""แผน!Z32"")"),10)</f>
        <v>10</v>
      </c>
      <c r="J167" s="595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I167</f>
        <v>10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I167</f>
        <v>10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7</v>
      </c>
      <c r="J172" s="688">
        <f>J183+J184</f>
        <v>7</v>
      </c>
      <c r="K172" s="687">
        <f ca="1">IF(I172&gt;0,J172*100/I172,0)</f>
        <v>100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19590</v>
      </c>
      <c r="M173" s="577">
        <f ca="1">M174+M175</f>
        <v>19590</v>
      </c>
      <c r="N173" s="577">
        <f ca="1">N174+N175</f>
        <v>19590</v>
      </c>
      <c r="O173" s="577">
        <f ca="1">IF(L173&gt;0,N173*100/L173,0)</f>
        <v>100</v>
      </c>
      <c r="P173" s="577">
        <f ca="1">IF(M173&gt;0,N173*100/M173,0)</f>
        <v>100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19590</v>
      </c>
      <c r="N175" s="425">
        <f ca="1">N178+N181</f>
        <v>19590</v>
      </c>
      <c r="O175" s="425">
        <f ca="1">IF(L175&gt;0,N175*100/L175,0)</f>
        <v>100</v>
      </c>
      <c r="P175" s="425">
        <f ca="1">IF(M175&gt;0,N175*100/M175,0)</f>
        <v>100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19590</v>
      </c>
      <c r="M176" s="425">
        <f ca="1">M177+M178</f>
        <v>19590</v>
      </c>
      <c r="N176" s="425">
        <f ca="1">N177+N178</f>
        <v>19590</v>
      </c>
      <c r="O176" s="425">
        <f ca="1">IF(L176&gt;0,N176*100/L176,0)</f>
        <v>100</v>
      </c>
      <c r="P176" s="425">
        <f ca="1">IF(M176&gt;0,N176*100/M176,0)</f>
        <v>100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IFERROR(__xludf.DUMMYFUNCTION("IMPORTRANGE(""https://docs.google.com/spreadsheets/d/1-uDff_7J0KD5mKrp0Vvzr7lt3OU09vwQwhkpOPPYv2Y/edit?usp=sharing"",""งบพรบ!CK32"")"),19590)</f>
        <v>19590</v>
      </c>
      <c r="M178" s="425">
        <f ca="1">IFERROR(__xludf.DUMMYFUNCTION("IMPORTRANGE(""https://docs.google.com/spreadsheets/d/1-uDff_7J0KD5mKrp0Vvzr7lt3OU09vwQwhkpOPPYv2Y/edit?usp=sharing"",""งบพรบ!CP32"")"),19590)</f>
        <v>19590</v>
      </c>
      <c r="N178" s="425">
        <f ca="1">IFERROR(__xludf.DUMMYFUNCTION("IMPORTRANGE(""https://docs.google.com/spreadsheets/d/1-uDff_7J0KD5mKrp0Vvzr7lt3OU09vwQwhkpOPPYv2Y/edit?usp=sharing"",""งบพรบ!CR32"")"),19590)</f>
        <v>19590</v>
      </c>
      <c r="O178" s="425">
        <f ca="1">IF(L178&gt;0,N178*100/L178,0)</f>
        <v>100</v>
      </c>
      <c r="P178" s="425">
        <f ca="1">IF(M178&gt;0,N178*100/M178,0)</f>
        <v>100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IFERROR(__xludf.DUMMYFUNCTION("IMPORTRANGE(""https://docs.google.com/spreadsheets/d/1-uDff_7J0KD5mKrp0Vvzr7lt3OU09vwQwhkpOPPYv2Y/edit?usp=sharing"",""งบพรบ!CN32"")"),0)</f>
        <v>0</v>
      </c>
      <c r="M181" s="425">
        <f ca="1">IFERROR(__xludf.DUMMYFUNCTION("IMPORTRANGE(""https://docs.google.com/spreadsheets/d/1-uDff_7J0KD5mKrp0Vvzr7lt3OU09vwQwhkpOPPYv2Y/edit?usp=sharing"",""งบพรบ!CQ32"")"),0)</f>
        <v>0</v>
      </c>
      <c r="N181" s="425">
        <f ca="1">IFERROR(__xludf.DUMMYFUNCTION("IMPORTRANGE(""https://docs.google.com/spreadsheets/d/1-uDff_7J0KD5mKrp0Vvzr7lt3OU09vwQwhkpOPPYv2Y/edit?usp=sharing"",""งบพรบ!CS32"")"),0)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IFERROR(__xludf.DUMMYFUNCTION("IMPORTRANGE(""https://docs.google.com/spreadsheets/d/1eHaY18a8A9IcSdp1K8H6x8fbOy06t2VsZHhMHf-1x7Y/edit?usp=sharing"",""แผน!AA32"")"),7)</f>
        <v>7</v>
      </c>
      <c r="J183" s="595">
        <v>7</v>
      </c>
      <c r="K183" s="425">
        <f ca="1">IF(I183&gt;0,J183*100/I183,0)</f>
        <v>100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0</v>
      </c>
      <c r="J185" s="688">
        <f>J230+J231</f>
        <v>0</v>
      </c>
      <c r="K185" s="687">
        <f ca="1">IF(I185&gt;0,J185*100/I185,0)</f>
        <v>0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228500</v>
      </c>
      <c r="M186" s="577">
        <f ca="1">M187+M188</f>
        <v>152500</v>
      </c>
      <c r="N186" s="577">
        <f ca="1">N187+N188</f>
        <v>26000</v>
      </c>
      <c r="O186" s="577">
        <f ca="1">IF(L186&gt;0,N186*100/L186,0)</f>
        <v>11.37855579868709</v>
      </c>
      <c r="P186" s="577">
        <f ca="1">IF(M186&gt;0,N186*100/M186,0)</f>
        <v>17.049180327868854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228500</v>
      </c>
      <c r="M188" s="425">
        <f ca="1">M191+M194</f>
        <v>152500</v>
      </c>
      <c r="N188" s="425">
        <f ca="1">N191+N194</f>
        <v>26000</v>
      </c>
      <c r="O188" s="425">
        <f ca="1">IF(L188&gt;0,N188*100/L188,0)</f>
        <v>11.37855579868709</v>
      </c>
      <c r="P188" s="425">
        <f ca="1">IF(M188&gt;0,N188*100/M188,0)</f>
        <v>17.049180327868854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228500</v>
      </c>
      <c r="M189" s="425">
        <f ca="1">M190+M191</f>
        <v>152500</v>
      </c>
      <c r="N189" s="425">
        <f ca="1">N190+N191</f>
        <v>26000</v>
      </c>
      <c r="O189" s="425">
        <f ca="1">IF(L189&gt;0,N189*100/L189,0)</f>
        <v>11.37855579868709</v>
      </c>
      <c r="P189" s="425">
        <f ca="1">IF(M189&gt;0,N189*100/M189,0)</f>
        <v>17.049180327868854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IFERROR(__xludf.DUMMYFUNCTION("IMPORTRANGE(""https://docs.google.com/spreadsheets/d/1-uDff_7J0KD5mKrp0Vvzr7lt3OU09vwQwhkpOPPYv2Y/edit?usp=sharing"",""งบพรบ!CU32"")"),228500)</f>
        <v>228500</v>
      </c>
      <c r="M191" s="425">
        <f ca="1">IFERROR(__xludf.DUMMYFUNCTION("IMPORTRANGE(""https://docs.google.com/spreadsheets/d/1-uDff_7J0KD5mKrp0Vvzr7lt3OU09vwQwhkpOPPYv2Y/edit?usp=sharing"",""งบพรบ!CZ32"")"),152500)</f>
        <v>152500</v>
      </c>
      <c r="N191" s="425">
        <f ca="1">IFERROR(__xludf.DUMMYFUNCTION("IMPORTRANGE(""https://docs.google.com/spreadsheets/d/1-uDff_7J0KD5mKrp0Vvzr7lt3OU09vwQwhkpOPPYv2Y/edit?usp=sharing"",""งบพรบ!DB32"")"),26000)</f>
        <v>26000</v>
      </c>
      <c r="O191" s="425">
        <f ca="1">IF(L191&gt;0,N191*100/L191,0)</f>
        <v>11.37855579868709</v>
      </c>
      <c r="P191" s="425">
        <f ca="1">IF(M191&gt;0,N191*100/M191,0)</f>
        <v>17.049180327868854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IFERROR(__xludf.DUMMYFUNCTION("IMPORTRANGE(""https://docs.google.com/spreadsheets/d/1-uDff_7J0KD5mKrp0Vvzr7lt3OU09vwQwhkpOPPYv2Y/edit?usp=sharing"",""งบพรบ!CX32"")"),0)</f>
        <v>0</v>
      </c>
      <c r="M194" s="425">
        <f ca="1">IFERROR(__xludf.DUMMYFUNCTION("IMPORTRANGE(""https://docs.google.com/spreadsheets/d/1-uDff_7J0KD5mKrp0Vvzr7lt3OU09vwQwhkpOPPYv2Y/edit?usp=sharing"",""งบพรบ!DA32"")"),0)</f>
        <v>0</v>
      </c>
      <c r="N194" s="425">
        <f ca="1">IFERROR(__xludf.DUMMYFUNCTION("IMPORTRANGE(""https://docs.google.com/spreadsheets/d/1-uDff_7J0KD5mKrp0Vvzr7lt3OU09vwQwhkpOPPYv2Y/edit?usp=sharing"",""งบพรบ!DC32"")"),0)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0</v>
      </c>
      <c r="K195" s="439">
        <f ca="1">IF(I195&gt;0,J195*100/I195,0)</f>
        <v>0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IFERROR(__xludf.DUMMYFUNCTION("IMPORTRANGE(""https://docs.google.com/spreadsheets/d/1eHaY18a8A9IcSdp1K8H6x8fbOy06t2VsZHhMHf-1x7Y/edit?usp=sharing"",""แผน!AB32"")"),6000)</f>
        <v>6000</v>
      </c>
      <c r="M196" s="428"/>
      <c r="N196" s="686">
        <v>0</v>
      </c>
      <c r="O196" s="577">
        <f ca="1">IF(L196&gt;0,N196*100/L196,0)</f>
        <v>0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IFERROR(__xludf.DUMMYFUNCTION("IMPORTRANGE(""https://docs.google.com/spreadsheets/d/1eHaY18a8A9IcSdp1K8H6x8fbOy06t2VsZHhMHf-1x7Y/edit?usp=sharing"",""แผน!AE32"")"),4)</f>
        <v>4</v>
      </c>
      <c r="J198" s="595">
        <v>0</v>
      </c>
      <c r="K198" s="425">
        <f ca="1">IF(I198&gt;0,J198*100/I198,0)</f>
        <v>0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2</v>
      </c>
      <c r="J202" s="438">
        <f>J209</f>
        <v>0</v>
      </c>
      <c r="K202" s="439">
        <f ca="1">IF(I202&gt;0,J202*100/I202,0)</f>
        <v>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26000</v>
      </c>
      <c r="M203" s="428"/>
      <c r="N203" s="577">
        <f>N204+N205+N206+N207</f>
        <v>0</v>
      </c>
      <c r="O203" s="577">
        <f ca="1">IF(L203&gt;0,N203*100/L203,0)</f>
        <v>0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2" t="s">
        <v>157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IFERROR(__xludf.DUMMYFUNCTION("IMPORTRANGE(""https://docs.google.com/spreadsheets/d/1eHaY18a8A9IcSdp1K8H6x8fbOy06t2VsZHhMHf-1x7Y/edit?usp=sharing"",""แผน!AG32"")"),2000)</f>
        <v>2000</v>
      </c>
      <c r="M204" s="428"/>
      <c r="N204" s="683">
        <v>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IFERROR(__xludf.DUMMYFUNCTION("IMPORTRANGE(""https://docs.google.com/spreadsheets/d/1eHaY18a8A9IcSdp1K8H6x8fbOy06t2VsZHhMHf-1x7Y/edit?usp=sharing"",""แผน!AH32"")"),0)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IFERROR(__xludf.DUMMYFUNCTION("IMPORTRANGE(""https://docs.google.com/spreadsheets/d/1eHaY18a8A9IcSdp1K8H6x8fbOy06t2VsZHhMHf-1x7Y/edit?usp=sharing"",""แผน!AI32"")"),16000)</f>
        <v>16000</v>
      </c>
      <c r="M206" s="428"/>
      <c r="N206" s="683">
        <v>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IFERROR(__xludf.DUMMYFUNCTION("IMPORTRANGE(""https://docs.google.com/spreadsheets/d/1eHaY18a8A9IcSdp1K8H6x8fbOy06t2VsZHhMHf-1x7Y/edit?usp=sharing"",""แผน!AJ32"")"),8000)</f>
        <v>8000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IFERROR(__xludf.DUMMYFUNCTION("IMPORTRANGE(""https://docs.google.com/spreadsheets/d/1eHaY18a8A9IcSdp1K8H6x8fbOy06t2VsZHhMHf-1x7Y/edit?usp=sharing"",""แผน!AK32"")"),2)</f>
        <v>2</v>
      </c>
      <c r="J209" s="595">
        <v>0</v>
      </c>
      <c r="K209" s="621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IFERROR(__xludf.DUMMYFUNCTION("IMPORTRANGE(""https://docs.google.com/spreadsheets/d/1eHaY18a8A9IcSdp1K8H6x8fbOy06t2VsZHhMHf-1x7Y/edit?usp=sharing"",""แผน!JX32"")"),2)</f>
        <v>2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IFERROR(__xludf.DUMMYFUNCTION("IMPORTRANGE(""https://docs.google.com/spreadsheets/d/1eHaY18a8A9IcSdp1K8H6x8fbOy06t2VsZHhMHf-1x7Y/edit?usp=sharing"",""แผน!JY32"")"),0)</f>
        <v>0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hidden="1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0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hidden="1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hidden="1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IFERROR(__xludf.DUMMYFUNCTION("IMPORTRANGE(""https://docs.google.com/spreadsheets/d/1eHaY18a8A9IcSdp1K8H6x8fbOy06t2VsZHhMHf-1x7Y/edit?usp=sharing"",""แผน!AM32"")"),0)</f>
        <v>0</v>
      </c>
      <c r="M215" s="428"/>
      <c r="N215" s="683">
        <v>0</v>
      </c>
      <c r="O215" s="525"/>
      <c r="P215" s="428"/>
    </row>
    <row r="216" spans="1:16" ht="18.75" hidden="1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IFERROR(__xludf.DUMMYFUNCTION("IMPORTRANGE(""https://docs.google.com/spreadsheets/d/1eHaY18a8A9IcSdp1K8H6x8fbOy06t2VsZHhMHf-1x7Y/edit?usp=sharing"",""แผน!AN32"")"),0)</f>
        <v>0</v>
      </c>
      <c r="M216" s="428"/>
      <c r="N216" s="683">
        <v>0</v>
      </c>
      <c r="O216" s="525"/>
      <c r="P216" s="428"/>
    </row>
    <row r="217" spans="1:16" ht="18.75" hidden="1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IFERROR(__xludf.DUMMYFUNCTION("IMPORTRANGE(""https://docs.google.com/spreadsheets/d/1eHaY18a8A9IcSdp1K8H6x8fbOy06t2VsZHhMHf-1x7Y/edit?usp=sharing"",""แผน!AO32"")"),0)</f>
        <v>0</v>
      </c>
      <c r="M217" s="428"/>
      <c r="N217" s="683">
        <v>0</v>
      </c>
      <c r="O217" s="525"/>
      <c r="P217" s="428"/>
    </row>
    <row r="218" spans="1:16" ht="19.5" hidden="1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hidden="1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IFERROR(__xludf.DUMMYFUNCTION("IMPORTRANGE(""https://docs.google.com/spreadsheets/d/1eHaY18a8A9IcSdp1K8H6x8fbOy06t2VsZHhMHf-1x7Y/edit?usp=sharing"",""แผน!AP32"")"),0)</f>
        <v>0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hidden="1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IFERROR(__xludf.DUMMYFUNCTION("IMPORTRANGE(""https://docs.google.com/spreadsheets/d/1eHaY18a8A9IcSdp1K8H6x8fbOy06t2VsZHhMHf-1x7Y/edit?usp=sharing"",""แผน!AP32"")"),0)</f>
        <v>0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123000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14500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2" t="s">
        <v>156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IFERROR(__xludf.DUMMYFUNCTION("IMPORTRANGE(""https://docs.google.com/spreadsheets/d/1eHaY18a8A9IcSdp1K8H6x8fbOy06t2VsZHhMHf-1x7Y/edit?usp=sharing"",""แผน!AR32"")"),13000)</f>
        <v>13000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IFERROR(__xludf.DUMMYFUNCTION("IMPORTRANGE(""https://docs.google.com/spreadsheets/d/1eHaY18a8A9IcSdp1K8H6x8fbOy06t2VsZHhMHf-1x7Y/edit?usp=sharing"",""แผน!AS32"")"),1500)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IFERROR(__xludf.DUMMYFUNCTION("IMPORTRANGE(""https://docs.google.com/spreadsheets/d/1eHaY18a8A9IcSdp1K8H6x8fbOy06t2VsZHhMHf-1x7Y/edit?usp=sharing"",""แผน!AT32"")"),0)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IFERROR(__xludf.DUMMYFUNCTION("IMPORTRANGE(""https://docs.google.com/spreadsheets/d/1eHaY18a8A9IcSdp1K8H6x8fbOy06t2VsZHhMHf-1x7Y/edit?usp=sharing"",""แผน!AV32"")"),123000)</f>
        <v>123000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IFERROR(__xludf.DUMMYFUNCTION("IMPORTRANGE(""https://docs.google.com/spreadsheets/d/1eHaY18a8A9IcSdp1K8H6x8fbOy06t2VsZHhMHf-1x7Y/edit?usp=sharing"",""แผน!AV32"")"),123000)</f>
        <v>123000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IFERROR(__xludf.DUMMYFUNCTION("IMPORTRANGE(""https://docs.google.com/spreadsheets/d/1eHaY18a8A9IcSdp1K8H6x8fbOy06t2VsZHhMHf-1x7Y/edit?usp=sharing"",""แผน!AU32"")"),0)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432"/>
      <c r="B231" s="434"/>
      <c r="C231" s="682" t="s">
        <v>99</v>
      </c>
      <c r="D231" s="433"/>
      <c r="E231" s="433"/>
      <c r="F231" s="433"/>
      <c r="G231" s="436"/>
      <c r="H231" s="437" t="s">
        <v>33</v>
      </c>
      <c r="I231" s="438">
        <f ca="1">I242+I253</f>
        <v>0</v>
      </c>
      <c r="J231" s="438">
        <f>J242+J253</f>
        <v>0</v>
      </c>
      <c r="K231" s="439">
        <f ca="1">IF(I231&gt;0,J231*100/I231,0)</f>
        <v>0</v>
      </c>
      <c r="L231" s="571"/>
      <c r="M231" s="571"/>
      <c r="N231" s="571"/>
      <c r="O231" s="571"/>
      <c r="P231" s="571"/>
    </row>
    <row r="232" spans="1:16" ht="19.5" hidden="1" x14ac:dyDescent="0.3">
      <c r="A232" s="535"/>
      <c r="B232" s="418"/>
      <c r="C232" s="570" t="s">
        <v>16</v>
      </c>
      <c r="D232" s="579" t="s">
        <v>17</v>
      </c>
      <c r="E232" s="418"/>
      <c r="F232" s="418"/>
      <c r="G232" s="422"/>
      <c r="H232" s="681" t="s">
        <v>12</v>
      </c>
      <c r="I232" s="526"/>
      <c r="J232" s="526"/>
      <c r="K232" s="525"/>
      <c r="L232" s="577">
        <f ca="1">L243+L254</f>
        <v>0</v>
      </c>
      <c r="M232" s="428"/>
      <c r="N232" s="577">
        <f>N243+N254</f>
        <v>0</v>
      </c>
      <c r="O232" s="428"/>
      <c r="P232" s="428"/>
    </row>
    <row r="233" spans="1:16" ht="18.75" hidden="1" x14ac:dyDescent="0.25">
      <c r="A233" s="535"/>
      <c r="B233" s="419"/>
      <c r="C233" s="418"/>
      <c r="D233" s="293" t="s">
        <v>80</v>
      </c>
      <c r="E233" s="418"/>
      <c r="F233" s="418"/>
      <c r="G233" s="422"/>
      <c r="H233" s="576" t="s">
        <v>12</v>
      </c>
      <c r="I233" s="526"/>
      <c r="J233" s="526"/>
      <c r="K233" s="525"/>
      <c r="L233" s="425">
        <f ca="1">L244+L255</f>
        <v>0</v>
      </c>
      <c r="M233" s="428"/>
      <c r="N233" s="425">
        <f>N244+N255</f>
        <v>0</v>
      </c>
      <c r="O233" s="428"/>
      <c r="P233" s="428"/>
    </row>
    <row r="234" spans="1:16" ht="18.75" hidden="1" x14ac:dyDescent="0.25">
      <c r="A234" s="417"/>
      <c r="B234" s="419"/>
      <c r="C234" s="419"/>
      <c r="D234" s="293" t="s">
        <v>82</v>
      </c>
      <c r="E234" s="418"/>
      <c r="F234" s="418"/>
      <c r="G234" s="422"/>
      <c r="H234" s="576" t="s">
        <v>12</v>
      </c>
      <c r="I234" s="427"/>
      <c r="J234" s="427"/>
      <c r="K234" s="428"/>
      <c r="L234" s="425">
        <f ca="1">L245+L256</f>
        <v>0</v>
      </c>
      <c r="M234" s="428"/>
      <c r="N234" s="425">
        <f>N245+N256</f>
        <v>0</v>
      </c>
      <c r="O234" s="428"/>
      <c r="P234" s="428"/>
    </row>
    <row r="235" spans="1:16" ht="18.75" hidden="1" x14ac:dyDescent="0.25">
      <c r="A235" s="417"/>
      <c r="B235" s="419"/>
      <c r="C235" s="419"/>
      <c r="D235" s="293" t="s">
        <v>100</v>
      </c>
      <c r="E235" s="418"/>
      <c r="F235" s="418"/>
      <c r="G235" s="422"/>
      <c r="H235" s="576" t="s">
        <v>12</v>
      </c>
      <c r="I235" s="427"/>
      <c r="J235" s="427"/>
      <c r="K235" s="428"/>
      <c r="L235" s="425">
        <f ca="1">L246+L257</f>
        <v>0</v>
      </c>
      <c r="M235" s="428"/>
      <c r="N235" s="425">
        <f>N246+N257</f>
        <v>0</v>
      </c>
      <c r="O235" s="428"/>
      <c r="P235" s="428"/>
    </row>
    <row r="236" spans="1:16" ht="18.75" hidden="1" x14ac:dyDescent="0.25">
      <c r="A236" s="417"/>
      <c r="B236" s="419"/>
      <c r="C236" s="419"/>
      <c r="D236" s="293" t="s">
        <v>101</v>
      </c>
      <c r="E236" s="418"/>
      <c r="F236" s="418"/>
      <c r="G236" s="422"/>
      <c r="H236" s="576" t="s">
        <v>12</v>
      </c>
      <c r="I236" s="427"/>
      <c r="J236" s="427"/>
      <c r="K236" s="428"/>
      <c r="L236" s="425">
        <f ca="1">L247+L258</f>
        <v>0</v>
      </c>
      <c r="M236" s="428"/>
      <c r="N236" s="425">
        <f>N247+N258</f>
        <v>0</v>
      </c>
      <c r="O236" s="428"/>
      <c r="P236" s="428"/>
    </row>
    <row r="237" spans="1:16" ht="19.5" hidden="1" x14ac:dyDescent="0.3">
      <c r="A237" s="532"/>
      <c r="B237" s="430"/>
      <c r="C237" s="680" t="s">
        <v>16</v>
      </c>
      <c r="D237" s="569" t="s">
        <v>36</v>
      </c>
      <c r="E237" s="529"/>
      <c r="F237" s="529"/>
      <c r="G237" s="528"/>
      <c r="H237" s="527"/>
      <c r="I237" s="526"/>
      <c r="J237" s="427"/>
      <c r="K237" s="428"/>
      <c r="L237" s="428"/>
      <c r="M237" s="428"/>
      <c r="N237" s="428"/>
      <c r="O237" s="525"/>
      <c r="P237" s="525"/>
    </row>
    <row r="238" spans="1:16" ht="18.75" hidden="1" x14ac:dyDescent="0.25">
      <c r="A238" s="532"/>
      <c r="B238" s="430"/>
      <c r="C238" s="430"/>
      <c r="D238" s="421" t="s">
        <v>102</v>
      </c>
      <c r="E238" s="420"/>
      <c r="F238" s="420"/>
      <c r="G238" s="527"/>
      <c r="H238" s="566" t="s">
        <v>33</v>
      </c>
      <c r="I238" s="424">
        <f ca="1">I249+I260</f>
        <v>0</v>
      </c>
      <c r="J238" s="424">
        <f>J249+J260</f>
        <v>0</v>
      </c>
      <c r="K238" s="425">
        <f ca="1">IF(I238&gt;0,J238*100/I238,0)</f>
        <v>0</v>
      </c>
      <c r="L238" s="428"/>
      <c r="M238" s="428"/>
      <c r="N238" s="428"/>
      <c r="O238" s="428"/>
      <c r="P238" s="428"/>
    </row>
    <row r="239" spans="1:16" ht="18.75" hidden="1" x14ac:dyDescent="0.25">
      <c r="A239" s="532"/>
      <c r="B239" s="430"/>
      <c r="C239" s="430"/>
      <c r="D239" s="679" t="s">
        <v>41</v>
      </c>
      <c r="E239" s="420"/>
      <c r="F239" s="420"/>
      <c r="G239" s="527"/>
      <c r="H239" s="527"/>
      <c r="I239" s="427"/>
      <c r="J239" s="427"/>
      <c r="K239" s="428"/>
      <c r="L239" s="428"/>
      <c r="M239" s="428"/>
      <c r="N239" s="428"/>
      <c r="O239" s="525"/>
      <c r="P239" s="525"/>
    </row>
    <row r="240" spans="1:16" ht="18.75" hidden="1" x14ac:dyDescent="0.25">
      <c r="A240" s="532"/>
      <c r="B240" s="430"/>
      <c r="C240" s="430"/>
      <c r="D240" s="430"/>
      <c r="E240" s="567" t="s">
        <v>103</v>
      </c>
      <c r="F240" s="420"/>
      <c r="G240" s="527"/>
      <c r="H240" s="566" t="s">
        <v>33</v>
      </c>
      <c r="I240" s="424">
        <f>I251+I262</f>
        <v>0</v>
      </c>
      <c r="J240" s="424">
        <f>J251+J262</f>
        <v>0</v>
      </c>
      <c r="K240" s="425">
        <f>IF(I240&gt;0,J240*100/I240,0)</f>
        <v>0</v>
      </c>
      <c r="L240" s="428"/>
      <c r="M240" s="428"/>
      <c r="N240" s="428"/>
      <c r="O240" s="428"/>
      <c r="P240" s="428"/>
    </row>
    <row r="241" spans="1:16" ht="18.75" hidden="1" x14ac:dyDescent="0.25">
      <c r="A241" s="532"/>
      <c r="B241" s="430"/>
      <c r="C241" s="430"/>
      <c r="D241" s="430"/>
      <c r="E241" s="567" t="s">
        <v>104</v>
      </c>
      <c r="F241" s="420"/>
      <c r="G241" s="527"/>
      <c r="H241" s="566" t="s">
        <v>54</v>
      </c>
      <c r="I241" s="424">
        <f>I252+I263</f>
        <v>0</v>
      </c>
      <c r="J241" s="424">
        <f>J252+J263</f>
        <v>0</v>
      </c>
      <c r="K241" s="425">
        <f>IF(I241&gt;0,J241*100/I241,0)</f>
        <v>0</v>
      </c>
      <c r="L241" s="428"/>
      <c r="M241" s="428"/>
      <c r="N241" s="428"/>
      <c r="O241" s="428"/>
      <c r="P241" s="428"/>
    </row>
    <row r="242" spans="1:16" ht="19.5" hidden="1" x14ac:dyDescent="0.3">
      <c r="A242" s="432"/>
      <c r="B242" s="434"/>
      <c r="C242" s="678" t="s">
        <v>105</v>
      </c>
      <c r="D242" s="433"/>
      <c r="E242" s="433"/>
      <c r="F242" s="433"/>
      <c r="G242" s="436"/>
      <c r="H242" s="677" t="s">
        <v>33</v>
      </c>
      <c r="I242" s="676">
        <f ca="1">I249</f>
        <v>0</v>
      </c>
      <c r="J242" s="676">
        <f>J249</f>
        <v>0</v>
      </c>
      <c r="K242" s="675">
        <f ca="1">IF(I242&gt;0,J242*100/I242,0)</f>
        <v>0</v>
      </c>
      <c r="L242" s="571"/>
      <c r="M242" s="571"/>
      <c r="N242" s="571"/>
      <c r="O242" s="571"/>
      <c r="P242" s="571"/>
    </row>
    <row r="243" spans="1:16" ht="19.5" hidden="1" x14ac:dyDescent="0.3">
      <c r="A243" s="535"/>
      <c r="B243" s="418"/>
      <c r="C243" s="531" t="s">
        <v>16</v>
      </c>
      <c r="D243" s="541" t="s">
        <v>17</v>
      </c>
      <c r="E243" s="418"/>
      <c r="F243" s="418"/>
      <c r="G243" s="422"/>
      <c r="H243" s="673" t="s">
        <v>12</v>
      </c>
      <c r="I243" s="526"/>
      <c r="J243" s="526"/>
      <c r="K243" s="525"/>
      <c r="L243" s="539">
        <f ca="1">L244+L245+L246+L247</f>
        <v>0</v>
      </c>
      <c r="M243" s="428"/>
      <c r="N243" s="539">
        <f>N244+N245+N246+N247</f>
        <v>0</v>
      </c>
      <c r="O243" s="539">
        <f ca="1">IF(L243&gt;0,N243*100/L243,0)</f>
        <v>0</v>
      </c>
      <c r="P243" s="539">
        <f>IF(M243&gt;0,N243*100/M243,0)</f>
        <v>0</v>
      </c>
    </row>
    <row r="244" spans="1:16" ht="18.75" hidden="1" x14ac:dyDescent="0.25">
      <c r="A244" s="535"/>
      <c r="B244" s="419"/>
      <c r="C244" s="418"/>
      <c r="D244" s="534" t="s">
        <v>80</v>
      </c>
      <c r="E244" s="418"/>
      <c r="F244" s="418"/>
      <c r="G244" s="422"/>
      <c r="H244" s="536" t="s">
        <v>12</v>
      </c>
      <c r="I244" s="526"/>
      <c r="J244" s="526"/>
      <c r="K244" s="525"/>
      <c r="L244" s="521">
        <f ca="1">IFERROR(__xludf.DUMMYFUNCTION("IMPORTRANGE(""https://docs.google.com/spreadsheets/d/1eHaY18a8A9IcSdp1K8H6x8fbOy06t2VsZHhMHf-1x7Y/edit?usp=sharing"",""แผน!AX32"")"),0)</f>
        <v>0</v>
      </c>
      <c r="M244" s="428"/>
      <c r="N244" s="672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34" t="s">
        <v>82</v>
      </c>
      <c r="E245" s="418"/>
      <c r="F245" s="418"/>
      <c r="G245" s="422"/>
      <c r="H245" s="536" t="s">
        <v>12</v>
      </c>
      <c r="I245" s="427"/>
      <c r="J245" s="427"/>
      <c r="K245" s="428"/>
      <c r="L245" s="521">
        <f ca="1">IFERROR(__xludf.DUMMYFUNCTION("IMPORTRANGE(""https://docs.google.com/spreadsheets/d/1eHaY18a8A9IcSdp1K8H6x8fbOy06t2VsZHhMHf-1x7Y/edit?usp=sharing"",""แผน!AY32"")"),0)</f>
        <v>0</v>
      </c>
      <c r="M245" s="428"/>
      <c r="N245" s="672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34" t="s">
        <v>100</v>
      </c>
      <c r="E246" s="418"/>
      <c r="F246" s="418"/>
      <c r="G246" s="422"/>
      <c r="H246" s="536" t="s">
        <v>12</v>
      </c>
      <c r="I246" s="427"/>
      <c r="J246" s="427"/>
      <c r="K246" s="428"/>
      <c r="L246" s="521">
        <f ca="1">IFERROR(__xludf.DUMMYFUNCTION("IMPORTRANGE(""https://docs.google.com/spreadsheets/d/1eHaY18a8A9IcSdp1K8H6x8fbOy06t2VsZHhMHf-1x7Y/edit?usp=sharing"",""แผน!AZ32"")"),0)</f>
        <v>0</v>
      </c>
      <c r="M246" s="428"/>
      <c r="N246" s="672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34" t="s">
        <v>101</v>
      </c>
      <c r="E247" s="418"/>
      <c r="F247" s="418"/>
      <c r="G247" s="422"/>
      <c r="H247" s="536" t="s">
        <v>12</v>
      </c>
      <c r="I247" s="427"/>
      <c r="J247" s="427"/>
      <c r="K247" s="428"/>
      <c r="L247" s="521">
        <f ca="1">IFERROR(__xludf.DUMMYFUNCTION("IMPORTRANGE(""https://docs.google.com/spreadsheets/d/1eHaY18a8A9IcSdp1K8H6x8fbOy06t2VsZHhMHf-1x7Y/edit?usp=sharing"",""แผน!BA32"")"),0)</f>
        <v>0</v>
      </c>
      <c r="M247" s="428"/>
      <c r="N247" s="672">
        <v>0</v>
      </c>
      <c r="O247" s="428"/>
      <c r="P247" s="428"/>
    </row>
    <row r="248" spans="1:16" ht="19.5" hidden="1" x14ac:dyDescent="0.3">
      <c r="A248" s="532"/>
      <c r="B248" s="430"/>
      <c r="C248" s="671" t="s">
        <v>16</v>
      </c>
      <c r="D248" s="530" t="s">
        <v>36</v>
      </c>
      <c r="E248" s="529"/>
      <c r="F248" s="529"/>
      <c r="G248" s="528"/>
      <c r="H248" s="527"/>
      <c r="I248" s="526"/>
      <c r="J248" s="427"/>
      <c r="K248" s="428"/>
      <c r="L248" s="428"/>
      <c r="M248" s="428"/>
      <c r="N248" s="428"/>
      <c r="O248" s="525"/>
      <c r="P248" s="525"/>
    </row>
    <row r="249" spans="1:16" ht="18.75" hidden="1" x14ac:dyDescent="0.25">
      <c r="A249" s="532"/>
      <c r="B249" s="430"/>
      <c r="C249" s="430"/>
      <c r="D249" s="524" t="s">
        <v>102</v>
      </c>
      <c r="E249" s="420"/>
      <c r="F249" s="420"/>
      <c r="G249" s="527"/>
      <c r="H249" s="668" t="s">
        <v>33</v>
      </c>
      <c r="I249" s="199">
        <f ca="1">IFERROR(__xludf.DUMMYFUNCTION("IMPORTRANGE(""https://docs.google.com/spreadsheets/d/1eHaY18a8A9IcSdp1K8H6x8fbOy06t2VsZHhMHf-1x7Y/edit?usp=sharing"",""แผน!BG32"")"),0)</f>
        <v>0</v>
      </c>
      <c r="J249" s="522">
        <v>0</v>
      </c>
      <c r="K249" s="521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2"/>
      <c r="B250" s="430"/>
      <c r="C250" s="430"/>
      <c r="D250" s="670" t="s">
        <v>41</v>
      </c>
      <c r="E250" s="420"/>
      <c r="F250" s="420"/>
      <c r="G250" s="527"/>
      <c r="H250" s="527"/>
      <c r="I250" s="427"/>
      <c r="J250" s="427"/>
      <c r="K250" s="428"/>
      <c r="L250" s="428"/>
      <c r="M250" s="428"/>
      <c r="N250" s="428"/>
      <c r="O250" s="525"/>
      <c r="P250" s="525"/>
    </row>
    <row r="251" spans="1:16" ht="18.75" hidden="1" x14ac:dyDescent="0.25">
      <c r="A251" s="532"/>
      <c r="B251" s="430"/>
      <c r="C251" s="430"/>
      <c r="D251" s="430"/>
      <c r="E251" s="669" t="s">
        <v>103</v>
      </c>
      <c r="F251" s="420"/>
      <c r="G251" s="527"/>
      <c r="H251" s="668" t="s">
        <v>33</v>
      </c>
      <c r="I251" s="199">
        <v>0</v>
      </c>
      <c r="J251" s="522">
        <v>0</v>
      </c>
      <c r="K251" s="521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2"/>
      <c r="B252" s="430"/>
      <c r="C252" s="430"/>
      <c r="D252" s="430"/>
      <c r="E252" s="669" t="s">
        <v>104</v>
      </c>
      <c r="F252" s="420"/>
      <c r="G252" s="527"/>
      <c r="H252" s="668" t="s">
        <v>54</v>
      </c>
      <c r="I252" s="199">
        <v>0</v>
      </c>
      <c r="J252" s="522">
        <v>0</v>
      </c>
      <c r="K252" s="521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78" t="s">
        <v>106</v>
      </c>
      <c r="D253" s="433"/>
      <c r="E253" s="433"/>
      <c r="F253" s="433"/>
      <c r="G253" s="436"/>
      <c r="H253" s="677" t="s">
        <v>33</v>
      </c>
      <c r="I253" s="676">
        <f ca="1">I260</f>
        <v>0</v>
      </c>
      <c r="J253" s="676">
        <f>J260</f>
        <v>0</v>
      </c>
      <c r="K253" s="675">
        <f ca="1">IF(I253&gt;0,J253*100/I253,0)</f>
        <v>0</v>
      </c>
      <c r="L253" s="571"/>
      <c r="M253" s="571"/>
      <c r="N253" s="571"/>
      <c r="O253" s="571"/>
      <c r="P253" s="571"/>
    </row>
    <row r="254" spans="1:16" ht="19.5" hidden="1" x14ac:dyDescent="0.3">
      <c r="A254" s="535"/>
      <c r="B254" s="418"/>
      <c r="C254" s="531" t="s">
        <v>16</v>
      </c>
      <c r="D254" s="674" t="s">
        <v>17</v>
      </c>
      <c r="E254" s="418"/>
      <c r="F254" s="418"/>
      <c r="G254" s="422"/>
      <c r="H254" s="673" t="s">
        <v>12</v>
      </c>
      <c r="I254" s="526"/>
      <c r="J254" s="526"/>
      <c r="K254" s="525"/>
      <c r="L254" s="539">
        <f ca="1">L255+L256+L257+L258</f>
        <v>0</v>
      </c>
      <c r="M254" s="428"/>
      <c r="N254" s="539">
        <f>N255+N256+N257+N258</f>
        <v>0</v>
      </c>
      <c r="O254" s="539">
        <f ca="1">IF(L254&gt;0,N254*100/L254,0)</f>
        <v>0</v>
      </c>
      <c r="P254" s="539">
        <f>IF(M254&gt;0,N254*100/M254,0)</f>
        <v>0</v>
      </c>
    </row>
    <row r="255" spans="1:16" ht="18.75" hidden="1" x14ac:dyDescent="0.25">
      <c r="A255" s="535"/>
      <c r="B255" s="419"/>
      <c r="C255" s="418"/>
      <c r="D255" s="534" t="s">
        <v>80</v>
      </c>
      <c r="E255" s="418"/>
      <c r="F255" s="418"/>
      <c r="G255" s="422"/>
      <c r="H255" s="536" t="s">
        <v>12</v>
      </c>
      <c r="I255" s="526"/>
      <c r="J255" s="526"/>
      <c r="K255" s="525"/>
      <c r="L255" s="521">
        <f ca="1">IFERROR(__xludf.DUMMYFUNCTION("IMPORTRANGE(""https://docs.google.com/spreadsheets/d/1eHaY18a8A9IcSdp1K8H6x8fbOy06t2VsZHhMHf-1x7Y/edit?usp=sharing"",""แผน!BB32"")"),0)</f>
        <v>0</v>
      </c>
      <c r="M255" s="428"/>
      <c r="N255" s="672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34" t="s">
        <v>82</v>
      </c>
      <c r="E256" s="418"/>
      <c r="F256" s="418"/>
      <c r="G256" s="422"/>
      <c r="H256" s="536" t="s">
        <v>12</v>
      </c>
      <c r="I256" s="427"/>
      <c r="J256" s="427"/>
      <c r="K256" s="428"/>
      <c r="L256" s="521">
        <f ca="1">IFERROR(__xludf.DUMMYFUNCTION("IMPORTRANGE(""https://docs.google.com/spreadsheets/d/1eHaY18a8A9IcSdp1K8H6x8fbOy06t2VsZHhMHf-1x7Y/edit?usp=sharing"",""แผน!BC32"")"),0)</f>
        <v>0</v>
      </c>
      <c r="M256" s="428"/>
      <c r="N256" s="672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34" t="s">
        <v>100</v>
      </c>
      <c r="E257" s="418"/>
      <c r="F257" s="418"/>
      <c r="G257" s="422"/>
      <c r="H257" s="536" t="s">
        <v>12</v>
      </c>
      <c r="I257" s="427"/>
      <c r="J257" s="427"/>
      <c r="K257" s="428"/>
      <c r="L257" s="521">
        <f ca="1">IFERROR(__xludf.DUMMYFUNCTION("IMPORTRANGE(""https://docs.google.com/spreadsheets/d/1eHaY18a8A9IcSdp1K8H6x8fbOy06t2VsZHhMHf-1x7Y/edit?usp=sharing"",""แผน!BD32"")"),0)</f>
        <v>0</v>
      </c>
      <c r="M257" s="428"/>
      <c r="N257" s="672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34" t="s">
        <v>101</v>
      </c>
      <c r="E258" s="418"/>
      <c r="F258" s="418"/>
      <c r="G258" s="422"/>
      <c r="H258" s="536" t="s">
        <v>12</v>
      </c>
      <c r="I258" s="427"/>
      <c r="J258" s="427"/>
      <c r="K258" s="428"/>
      <c r="L258" s="521">
        <f ca="1">IFERROR(__xludf.DUMMYFUNCTION("IMPORTRANGE(""https://docs.google.com/spreadsheets/d/1eHaY18a8A9IcSdp1K8H6x8fbOy06t2VsZHhMHf-1x7Y/edit?usp=sharing"",""แผน!BE32"")"),0)</f>
        <v>0</v>
      </c>
      <c r="M258" s="428"/>
      <c r="N258" s="672">
        <v>0</v>
      </c>
      <c r="O258" s="428"/>
      <c r="P258" s="428"/>
    </row>
    <row r="259" spans="1:16" ht="19.5" hidden="1" x14ac:dyDescent="0.3">
      <c r="A259" s="532"/>
      <c r="B259" s="430"/>
      <c r="C259" s="671" t="s">
        <v>16</v>
      </c>
      <c r="D259" s="530" t="s">
        <v>36</v>
      </c>
      <c r="E259" s="529"/>
      <c r="F259" s="529"/>
      <c r="G259" s="528"/>
      <c r="H259" s="527"/>
      <c r="I259" s="526"/>
      <c r="J259" s="427"/>
      <c r="K259" s="428"/>
      <c r="L259" s="428"/>
      <c r="M259" s="428"/>
      <c r="N259" s="428"/>
      <c r="O259" s="525"/>
      <c r="P259" s="525"/>
    </row>
    <row r="260" spans="1:16" ht="18.75" hidden="1" x14ac:dyDescent="0.25">
      <c r="A260" s="532"/>
      <c r="B260" s="430"/>
      <c r="C260" s="430"/>
      <c r="D260" s="524" t="s">
        <v>102</v>
      </c>
      <c r="E260" s="420"/>
      <c r="F260" s="420"/>
      <c r="G260" s="527"/>
      <c r="H260" s="668" t="s">
        <v>33</v>
      </c>
      <c r="I260" s="199">
        <f ca="1">IFERROR(__xludf.DUMMYFUNCTION("IMPORTRANGE(""https://docs.google.com/spreadsheets/d/1eHaY18a8A9IcSdp1K8H6x8fbOy06t2VsZHhMHf-1x7Y/edit?usp=sharing"",""แผน!BH32"")"),0)</f>
        <v>0</v>
      </c>
      <c r="J260" s="522">
        <v>0</v>
      </c>
      <c r="K260" s="521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2"/>
      <c r="B261" s="430"/>
      <c r="C261" s="430"/>
      <c r="D261" s="670" t="s">
        <v>41</v>
      </c>
      <c r="E261" s="420"/>
      <c r="F261" s="420"/>
      <c r="G261" s="527"/>
      <c r="H261" s="527"/>
      <c r="I261" s="427"/>
      <c r="J261" s="427"/>
      <c r="K261" s="428"/>
      <c r="L261" s="428"/>
      <c r="M261" s="428"/>
      <c r="N261" s="428"/>
      <c r="O261" s="525"/>
      <c r="P261" s="525"/>
    </row>
    <row r="262" spans="1:16" ht="18.75" hidden="1" x14ac:dyDescent="0.25">
      <c r="A262" s="532"/>
      <c r="B262" s="430"/>
      <c r="C262" s="430"/>
      <c r="D262" s="430"/>
      <c r="E262" s="669" t="s">
        <v>103</v>
      </c>
      <c r="F262" s="420"/>
      <c r="G262" s="527"/>
      <c r="H262" s="668" t="s">
        <v>33</v>
      </c>
      <c r="I262" s="427"/>
      <c r="J262" s="522">
        <v>0</v>
      </c>
      <c r="K262" s="521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2"/>
      <c r="B263" s="430"/>
      <c r="C263" s="430"/>
      <c r="D263" s="430"/>
      <c r="E263" s="669" t="s">
        <v>104</v>
      </c>
      <c r="F263" s="420"/>
      <c r="G263" s="527"/>
      <c r="H263" s="668" t="s">
        <v>54</v>
      </c>
      <c r="I263" s="427"/>
      <c r="J263" s="522">
        <v>0</v>
      </c>
      <c r="K263" s="521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IFERROR(__xludf.DUMMYFUNCTION("IMPORTRANGE(""https://docs.google.com/spreadsheets/d/1-uDff_7J0KD5mKrp0Vvzr7lt3OU09vwQwhkpOPPYv2Y/edit?usp=sharing"",""งบพรบ!DE32"")"),0)</f>
        <v>0</v>
      </c>
      <c r="M271" s="521">
        <f ca="1">IFERROR(__xludf.DUMMYFUNCTION("IMPORTRANGE(""https://docs.google.com/spreadsheets/d/1-uDff_7J0KD5mKrp0Vvzr7lt3OU09vwQwhkpOPPYv2Y/edit?usp=sharing"",""งบพรบ!DJ32"")"),0)</f>
        <v>0</v>
      </c>
      <c r="N271" s="521">
        <f ca="1">IFERROR(__xludf.DUMMYFUNCTION("IMPORTRANGE(""https://docs.google.com/spreadsheets/d/1-uDff_7J0KD5mKrp0Vvzr7lt3OU09vwQwhkpOPPYv2Y/edit?usp=sharing"",""งบพรบ!DL32"")"),0)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IFERROR(__xludf.DUMMYFUNCTION("IMPORTRANGE(""https://docs.google.com/spreadsheets/d/1-uDff_7J0KD5mKrp0Vvzr7lt3OU09vwQwhkpOPPYv2Y/edit?usp=sharing"",""งบพรบ!DH32"")"),0)</f>
        <v>0</v>
      </c>
      <c r="M274" s="521">
        <f ca="1">IFERROR(__xludf.DUMMYFUNCTION("IMPORTRANGE(""https://docs.google.com/spreadsheets/d/1-uDff_7J0KD5mKrp0Vvzr7lt3OU09vwQwhkpOPPYv2Y/edit?usp=sharing"",""งบพรบ!DK32"")"),0)</f>
        <v>0</v>
      </c>
      <c r="N274" s="521">
        <f ca="1">IFERROR(__xludf.DUMMYFUNCTION("IMPORTRANGE(""https://docs.google.com/spreadsheets/d/1-uDff_7J0KD5mKrp0Vvzr7lt3OU09vwQwhkpOPPYv2Y/edit?usp=sharing"",""งบพรบ!DM32"")"),0)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20</v>
      </c>
      <c r="J280" s="629">
        <f>J293</f>
        <v>0</v>
      </c>
      <c r="K280" s="628">
        <f ca="1">IF(I280&gt;0,J280*100/I280,0)</f>
        <v>0</v>
      </c>
      <c r="L280" s="627"/>
      <c r="M280" s="627"/>
      <c r="N280" s="627"/>
      <c r="O280" s="627"/>
      <c r="P280" s="627"/>
    </row>
    <row r="281" spans="1:16" ht="19.5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200</v>
      </c>
      <c r="J281" s="629">
        <f>J292</f>
        <v>0</v>
      </c>
      <c r="K281" s="628">
        <f ca="1">IF(I281&gt;0,J281*100/I281,0)</f>
        <v>0</v>
      </c>
      <c r="L281" s="627"/>
      <c r="M281" s="627"/>
      <c r="N281" s="627"/>
      <c r="O281" s="627"/>
      <c r="P281" s="627"/>
    </row>
    <row r="282" spans="1:16" ht="19.5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156420</v>
      </c>
      <c r="M282" s="577">
        <f ca="1">M283+M284</f>
        <v>120480</v>
      </c>
      <c r="N282" s="577">
        <f ca="1">N283+N284</f>
        <v>56221.26</v>
      </c>
      <c r="O282" s="577">
        <f ca="1">IF(L282&gt;0,N282*100/L282,0)</f>
        <v>35.942500958956657</v>
      </c>
      <c r="P282" s="577">
        <f ca="1">IF(M282&gt;0,N282*100/M282,0)</f>
        <v>46.664392430278888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156420</v>
      </c>
      <c r="M284" s="425">
        <f ca="1">M287+M290</f>
        <v>120480</v>
      </c>
      <c r="N284" s="425">
        <f ca="1">N287+N290</f>
        <v>56221.26</v>
      </c>
      <c r="O284" s="425">
        <f ca="1">IF(L284&gt;0,N284*100/L284,0)</f>
        <v>35.942500958956657</v>
      </c>
      <c r="P284" s="425">
        <f ca="1">IF(M284&gt;0,N284*100/M284,0)</f>
        <v>46.664392430278888</v>
      </c>
    </row>
    <row r="285" spans="1:16" ht="18.75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156420</v>
      </c>
      <c r="M285" s="425">
        <f ca="1">M286+M287</f>
        <v>120480</v>
      </c>
      <c r="N285" s="425">
        <f ca="1">N286+N287</f>
        <v>56221.26</v>
      </c>
      <c r="O285" s="425">
        <f ca="1">IF(L285&gt;0,N285*100/L285,0)</f>
        <v>35.942500958956657</v>
      </c>
      <c r="P285" s="425">
        <f ca="1">IF(M285&gt;0,N285*100/M285,0)</f>
        <v>46.664392430278888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IFERROR(__xludf.DUMMYFUNCTION("IMPORTRANGE(""https://docs.google.com/spreadsheets/d/1-uDff_7J0KD5mKrp0Vvzr7lt3OU09vwQwhkpOPPYv2Y/edit?usp=sharing"",""งบพรบ!DO32"")"),156420)</f>
        <v>156420</v>
      </c>
      <c r="M287" s="425">
        <f ca="1">IFERROR(__xludf.DUMMYFUNCTION("IMPORTRANGE(""https://docs.google.com/spreadsheets/d/1-uDff_7J0KD5mKrp0Vvzr7lt3OU09vwQwhkpOPPYv2Y/edit?usp=sharing"",""งบพรบ!DT32"")"),120480)</f>
        <v>120480</v>
      </c>
      <c r="N287" s="425">
        <f ca="1">IFERROR(__xludf.DUMMYFUNCTION("IMPORTRANGE(""https://docs.google.com/spreadsheets/d/1-uDff_7J0KD5mKrp0Vvzr7lt3OU09vwQwhkpOPPYv2Y/edit?usp=sharing"",""งบพรบ!DV32"")"),56221.26)</f>
        <v>56221.26</v>
      </c>
      <c r="O287" s="425">
        <f ca="1">IF(L287&gt;0,N287*100/L287,0)</f>
        <v>35.942500958956657</v>
      </c>
      <c r="P287" s="425">
        <f ca="1">IF(M287&gt;0,N287*100/M287,0)</f>
        <v>46.664392430278888</v>
      </c>
    </row>
    <row r="288" spans="1:16" ht="18.75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IFERROR(__xludf.DUMMYFUNCTION("IMPORTRANGE(""https://docs.google.com/spreadsheets/d/1-uDff_7J0KD5mKrp0Vvzr7lt3OU09vwQwhkpOPPYv2Y/edit?usp=sharing"",""งบพรบ!DR32"")"),0)</f>
        <v>0</v>
      </c>
      <c r="M290" s="425">
        <f ca="1">IFERROR(__xludf.DUMMYFUNCTION("IMPORTRANGE(""https://docs.google.com/spreadsheets/d/1-uDff_7J0KD5mKrp0Vvzr7lt3OU09vwQwhkpOPPYv2Y/edit?usp=sharing"",""งบพรบ!DU32"")"),0)</f>
        <v>0</v>
      </c>
      <c r="N290" s="425">
        <f ca="1">IFERROR(__xludf.DUMMYFUNCTION("IMPORTRANGE(""https://docs.google.com/spreadsheets/d/1-uDff_7J0KD5mKrp0Vvzr7lt3OU09vwQwhkpOPPYv2Y/edit?usp=sharing"",""งบพรบ!DW32"")"),0)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IFERROR(__xludf.DUMMYFUNCTION("IMPORTRANGE(""https://docs.google.com/spreadsheets/d/1eHaY18a8A9IcSdp1K8H6x8fbOy06t2VsZHhMHf-1x7Y/edit?usp=sharing"",""แผน!EE32"")"),200)</f>
        <v>200</v>
      </c>
      <c r="J292" s="595">
        <v>0</v>
      </c>
      <c r="K292" s="621">
        <f ca="1">IF(I292&gt;0,J292*100/I292,0)</f>
        <v>0</v>
      </c>
      <c r="L292" s="525"/>
      <c r="M292" s="525"/>
      <c r="N292" s="525"/>
      <c r="O292" s="525"/>
      <c r="P292" s="525"/>
    </row>
    <row r="293" spans="1:16" ht="19.5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IFERROR(__xludf.DUMMYFUNCTION("IMPORTRANGE(""https://docs.google.com/spreadsheets/d/1eHaY18a8A9IcSdp1K8H6x8fbOy06t2VsZHhMHf-1x7Y/edit?usp=sharing"",""แผน!ED32"")"),20)</f>
        <v>20</v>
      </c>
      <c r="J293" s="625">
        <f>J296</f>
        <v>0</v>
      </c>
      <c r="K293" s="624">
        <f ca="1">IF(I293&gt;0,J293*100/I293,0)</f>
        <v>0</v>
      </c>
      <c r="L293" s="525"/>
      <c r="M293" s="525"/>
      <c r="N293" s="525"/>
      <c r="O293" s="525"/>
      <c r="P293" s="525"/>
    </row>
    <row r="294" spans="1:16" ht="19.5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IFERROR(__xludf.DUMMYFUNCTION("IMPORTRANGE(""https://docs.google.com/spreadsheets/d/1eHaY18a8A9IcSdp1K8H6x8fbOy06t2VsZHhMHf-1x7Y/edit?usp=sharing"",""แผน!ED32"")"),20)</f>
        <v>20</v>
      </c>
      <c r="J295" s="595">
        <v>0</v>
      </c>
      <c r="K295" s="621">
        <f ca="1">IF(I295&gt;0,J295*100/I295,0)</f>
        <v>0</v>
      </c>
      <c r="L295" s="525"/>
      <c r="M295" s="525"/>
      <c r="N295" s="525"/>
      <c r="O295" s="525"/>
      <c r="P295" s="525"/>
    </row>
    <row r="296" spans="1:16" ht="19.5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IFERROR(__xludf.DUMMYFUNCTION("IMPORTRANGE(""https://docs.google.com/spreadsheets/d/1eHaY18a8A9IcSdp1K8H6x8fbOy06t2VsZHhMHf-1x7Y/edit?usp=sharing"",""แผน!ED32"")"),20)</f>
        <v>20</v>
      </c>
      <c r="J296" s="595">
        <v>0</v>
      </c>
      <c r="K296" s="621">
        <f ca="1">IF(I296&gt;0,J296*100/I296,0)</f>
        <v>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hidden="1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hidden="1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hidden="1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0</v>
      </c>
      <c r="J302" s="598">
        <f>J314</f>
        <v>0</v>
      </c>
      <c r="K302" s="597">
        <f ca="1">IF(I302&gt;0,J302*100/I302,0)</f>
        <v>0</v>
      </c>
      <c r="L302" s="580"/>
      <c r="M302" s="580"/>
      <c r="N302" s="580"/>
      <c r="O302" s="580"/>
      <c r="P302" s="580"/>
    </row>
    <row r="303" spans="1:16" ht="19.5" hidden="1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0</v>
      </c>
      <c r="M303" s="577">
        <f ca="1">M304+M305</f>
        <v>0</v>
      </c>
      <c r="N303" s="577">
        <f ca="1">N304+N305</f>
        <v>0</v>
      </c>
      <c r="O303" s="577">
        <f ca="1">IF(L303&gt;0,N303*100/L303,0)</f>
        <v>0</v>
      </c>
      <c r="P303" s="577">
        <f ca="1">IF(M303&gt;0,N303*100/M303,0)</f>
        <v>0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hidden="1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0</v>
      </c>
      <c r="M305" s="425">
        <f ca="1">M308+M311</f>
        <v>0</v>
      </c>
      <c r="N305" s="425">
        <f ca="1">N308+N311</f>
        <v>0</v>
      </c>
      <c r="O305" s="425">
        <f ca="1">IF(L305&gt;0,N305*100/L305,0)</f>
        <v>0</v>
      </c>
      <c r="P305" s="425">
        <f ca="1">IF(M305&gt;0,N305*100/M305,0)</f>
        <v>0</v>
      </c>
    </row>
    <row r="306" spans="1:16" ht="18.75" hidden="1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0</v>
      </c>
      <c r="M306" s="425">
        <f ca="1">M307+M308</f>
        <v>0</v>
      </c>
      <c r="N306" s="425">
        <f ca="1">N307+N308</f>
        <v>0</v>
      </c>
      <c r="O306" s="425">
        <f ca="1">IF(L306&gt;0,N306*100/L306,0)</f>
        <v>0</v>
      </c>
      <c r="P306" s="425">
        <f ca="1">IF(M306&gt;0,N306*100/M306,0)</f>
        <v>0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hidden="1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IFERROR(__xludf.DUMMYFUNCTION("IMPORTRANGE(""https://docs.google.com/spreadsheets/d/1-uDff_7J0KD5mKrp0Vvzr7lt3OU09vwQwhkpOPPYv2Y/edit?usp=sharing"",""งบพรบ!DY32"")"),0)</f>
        <v>0</v>
      </c>
      <c r="M308" s="425">
        <f ca="1">IFERROR(__xludf.DUMMYFUNCTION("IMPORTRANGE(""https://docs.google.com/spreadsheets/d/1-uDff_7J0KD5mKrp0Vvzr7lt3OU09vwQwhkpOPPYv2Y/edit?usp=sharing"",""งบพรบ!ED32"")"),0)</f>
        <v>0</v>
      </c>
      <c r="N308" s="425">
        <f ca="1">IFERROR(__xludf.DUMMYFUNCTION("IMPORTRANGE(""https://docs.google.com/spreadsheets/d/1-uDff_7J0KD5mKrp0Vvzr7lt3OU09vwQwhkpOPPYv2Y/edit?usp=sharing"",""งบพรบ!EF32"")"),0)</f>
        <v>0</v>
      </c>
      <c r="O308" s="425">
        <f ca="1">IF(L308&gt;0,N308*100/L308,0)</f>
        <v>0</v>
      </c>
      <c r="P308" s="425">
        <f ca="1">IF(M308&gt;0,N308*100/M308,0)</f>
        <v>0</v>
      </c>
    </row>
    <row r="309" spans="1:16" ht="18.75" hidden="1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hidden="1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IFERROR(__xludf.DUMMYFUNCTION("IMPORTRANGE(""https://docs.google.com/spreadsheets/d/1-uDff_7J0KD5mKrp0Vvzr7lt3OU09vwQwhkpOPPYv2Y/edit?usp=sharing"",""งบพรบ!EB32"")"),0)</f>
        <v>0</v>
      </c>
      <c r="M311" s="425">
        <f ca="1">IFERROR(__xludf.DUMMYFUNCTION("IMPORTRANGE(""https://docs.google.com/spreadsheets/d/1-uDff_7J0KD5mKrp0Vvzr7lt3OU09vwQwhkpOPPYv2Y/edit?usp=sharing"",""งบพรบ!EE32"")"),0)</f>
        <v>0</v>
      </c>
      <c r="N311" s="425">
        <f ca="1">IFERROR(__xludf.DUMMYFUNCTION("IMPORTRANGE(""https://docs.google.com/spreadsheets/d/1-uDff_7J0KD5mKrp0Vvzr7lt3OU09vwQwhkpOPPYv2Y/edit?usp=sharing"",""งบพรบ!EG32"")"),0)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hidden="1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hidden="1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0</v>
      </c>
      <c r="K313" s="428"/>
      <c r="L313" s="428"/>
      <c r="M313" s="428"/>
      <c r="N313" s="428"/>
      <c r="O313" s="428"/>
      <c r="P313" s="428"/>
    </row>
    <row r="314" spans="1:16" ht="18.75" hidden="1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IFERROR(__xludf.DUMMYFUNCTION("IMPORTRANGE(""https://docs.google.com/spreadsheets/d/1eHaY18a8A9IcSdp1K8H6x8fbOy06t2VsZHhMHf-1x7Y/edit?usp=sharing"",""แผน!EF32"")"),0)</f>
        <v>0</v>
      </c>
      <c r="J314" s="595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hidden="1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IFERROR(__xludf.DUMMYFUNCTION("IMPORTRANGE(""https://docs.google.com/spreadsheets/d/1eHaY18a8A9IcSdp1K8H6x8fbOy06t2VsZHhMHf-1x7Y/edit?usp=sharing"",""แผน!EG32"")"),0)</f>
        <v>0</v>
      </c>
      <c r="J315" s="595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hidden="1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IFERROR(__xludf.DUMMYFUNCTION("IMPORTRANGE(""https://docs.google.com/spreadsheets/d/1eHaY18a8A9IcSdp1K8H6x8fbOy06t2VsZHhMHf-1x7Y/edit?usp=sharing"",""แผน!EH32"")"),0)</f>
        <v>0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199">
        <f ca="1">IFERROR(__xludf.DUMMYFUNCTION("IMPORTRANGE(""https://docs.google.com/spreadsheets/d/1eHaY18a8A9IcSdp1K8H6x8fbOy06t2VsZHhMHf-1x7Y/edit?usp=sharing"",""แผน!EI32"")"),0)</f>
        <v>0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1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20000</v>
      </c>
      <c r="M320" s="577">
        <f ca="1">M321+M322</f>
        <v>20000</v>
      </c>
      <c r="N320" s="577">
        <f ca="1">N321+N322</f>
        <v>2300</v>
      </c>
      <c r="O320" s="577">
        <f ca="1">IF(L320&gt;0,N320*100/L320,0)</f>
        <v>11.5</v>
      </c>
      <c r="P320" s="577">
        <f ca="1">IF(M320&gt;0,N320*100/M320,0)</f>
        <v>11.5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20000</v>
      </c>
      <c r="M322" s="425">
        <f ca="1">M325+M328</f>
        <v>20000</v>
      </c>
      <c r="N322" s="425">
        <f ca="1">N325+N328</f>
        <v>2300</v>
      </c>
      <c r="O322" s="425">
        <f ca="1">IF(L322&gt;0,N322*100/L322,0)</f>
        <v>11.5</v>
      </c>
      <c r="P322" s="425">
        <f ca="1">IF(M322&gt;0,N322*100/M322,0)</f>
        <v>11.5</v>
      </c>
    </row>
    <row r="323" spans="1:16" ht="18.75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20000</v>
      </c>
      <c r="M323" s="425">
        <f ca="1">M324+M325</f>
        <v>20000</v>
      </c>
      <c r="N323" s="425">
        <f ca="1">N324+N325</f>
        <v>2300</v>
      </c>
      <c r="O323" s="425">
        <f ca="1">IF(L323&gt;0,N323*100/L323,0)</f>
        <v>11.5</v>
      </c>
      <c r="P323" s="425">
        <f ca="1">IF(M323&gt;0,N323*100/M323,0)</f>
        <v>11.5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IFERROR(__xludf.DUMMYFUNCTION("IMPORTRANGE(""https://docs.google.com/spreadsheets/d/1-uDff_7J0KD5mKrp0Vvzr7lt3OU09vwQwhkpOPPYv2Y/edit?usp=sharing"",""งบพรบ!EI32"")"),20000)</f>
        <v>20000</v>
      </c>
      <c r="M325" s="425">
        <f ca="1">IFERROR(__xludf.DUMMYFUNCTION("IMPORTRANGE(""https://docs.google.com/spreadsheets/d/1-uDff_7J0KD5mKrp0Vvzr7lt3OU09vwQwhkpOPPYv2Y/edit?usp=sharing"",""งบพรบ!EN32"")"),20000)</f>
        <v>20000</v>
      </c>
      <c r="N325" s="425">
        <f ca="1">IFERROR(__xludf.DUMMYFUNCTION("IMPORTRANGE(""https://docs.google.com/spreadsheets/d/1-uDff_7J0KD5mKrp0Vvzr7lt3OU09vwQwhkpOPPYv2Y/edit?usp=sharing"",""งบพรบ!EP32"")"),2300)</f>
        <v>2300</v>
      </c>
      <c r="O325" s="425">
        <f ca="1">IF(L325&gt;0,N325*100/L325,0)</f>
        <v>11.5</v>
      </c>
      <c r="P325" s="425">
        <f ca="1">IF(M325&gt;0,N325*100/M325,0)</f>
        <v>11.5</v>
      </c>
    </row>
    <row r="326" spans="1:16" ht="18.75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IFERROR(__xludf.DUMMYFUNCTION("IMPORTRANGE(""https://docs.google.com/spreadsheets/d/1-uDff_7J0KD5mKrp0Vvzr7lt3OU09vwQwhkpOPPYv2Y/edit?usp=sharing"",""งบพรบ!EL32"")"),0)</f>
        <v>0</v>
      </c>
      <c r="M328" s="425">
        <f ca="1">IFERROR(__xludf.DUMMYFUNCTION("IMPORTRANGE(""https://docs.google.com/spreadsheets/d/1-uDff_7J0KD5mKrp0Vvzr7lt3OU09vwQwhkpOPPYv2Y/edit?usp=sharing"",""งบพรบ!EO32"")"),0)</f>
        <v>0</v>
      </c>
      <c r="N328" s="425">
        <f ca="1">IFERROR(__xludf.DUMMYFUNCTION("IMPORTRANGE(""https://docs.google.com/spreadsheets/d/1-uDff_7J0KD5mKrp0Vvzr7lt3OU09vwQwhkpOPPYv2Y/edit?usp=sharing"",""งบพรบ!EQ32"")"),0)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IFERROR(__xludf.DUMMYFUNCTION("IMPORTRANGE(""https://docs.google.com/spreadsheets/d/1eHaY18a8A9IcSdp1K8H6x8fbOy06t2VsZHhMHf-1x7Y/edit?usp=sharing"",""แผน!EJ32"")"),1)</f>
        <v>1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1200</v>
      </c>
      <c r="J332" s="402">
        <f ca="1">J344+J347+J348+J349+J353</f>
        <v>375</v>
      </c>
      <c r="K332" s="403">
        <f ca="1">IF(I332&gt;0,J332*100/I332,0)</f>
        <v>31.25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110000</v>
      </c>
      <c r="M333" s="577">
        <f ca="1">M334+M335</f>
        <v>85750</v>
      </c>
      <c r="N333" s="577">
        <f ca="1">N334+N335</f>
        <v>17000</v>
      </c>
      <c r="O333" s="577">
        <f ca="1">IF(L333&gt;0,N333*100/L333,0)</f>
        <v>15.454545454545455</v>
      </c>
      <c r="P333" s="577">
        <f ca="1">IF(M333&gt;0,N333*100/M333,0)</f>
        <v>19.825072886297377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110000</v>
      </c>
      <c r="M335" s="425">
        <f ca="1">M338+M341</f>
        <v>85750</v>
      </c>
      <c r="N335" s="425">
        <f ca="1">N338+N341</f>
        <v>17000</v>
      </c>
      <c r="O335" s="425">
        <f ca="1">IF(L335&gt;0,N335*100/L335,0)</f>
        <v>15.454545454545455</v>
      </c>
      <c r="P335" s="425">
        <f ca="1">IF(M335&gt;0,N335*100/M335,0)</f>
        <v>19.825072886297377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110000</v>
      </c>
      <c r="M336" s="425">
        <f ca="1">M337+M338</f>
        <v>85750</v>
      </c>
      <c r="N336" s="425">
        <f ca="1">N337+N338</f>
        <v>17000</v>
      </c>
      <c r="O336" s="425">
        <f ca="1">IF(L336&gt;0,N336*100/L336,0)</f>
        <v>15.454545454545455</v>
      </c>
      <c r="P336" s="425">
        <f ca="1">IF(M336&gt;0,N336*100/M336,0)</f>
        <v>19.825072886297377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IFERROR(__xludf.DUMMYFUNCTION("IMPORTRANGE(""https://docs.google.com/spreadsheets/d/1-uDff_7J0KD5mKrp0Vvzr7lt3OU09vwQwhkpOPPYv2Y/edit?usp=sharing"",""งบพรบ!ES32"")"),110000)</f>
        <v>110000</v>
      </c>
      <c r="M338" s="425">
        <f ca="1">IFERROR(__xludf.DUMMYFUNCTION("IMPORTRANGE(""https://docs.google.com/spreadsheets/d/1-uDff_7J0KD5mKrp0Vvzr7lt3OU09vwQwhkpOPPYv2Y/edit?usp=sharing"",""งบพรบ!EX32"")"),85750)</f>
        <v>85750</v>
      </c>
      <c r="N338" s="425">
        <f ca="1">IFERROR(__xludf.DUMMYFUNCTION("IMPORTRANGE(""https://docs.google.com/spreadsheets/d/1-uDff_7J0KD5mKrp0Vvzr7lt3OU09vwQwhkpOPPYv2Y/edit?usp=sharing"",""งบพรบ!EZ32"")"),17000)</f>
        <v>17000</v>
      </c>
      <c r="O338" s="425">
        <f ca="1">IF(L338&gt;0,N338*100/L338,0)</f>
        <v>15.454545454545455</v>
      </c>
      <c r="P338" s="425">
        <f ca="1">IF(M338&gt;0,N338*100/M338,0)</f>
        <v>19.825072886297377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IFERROR(__xludf.DUMMYFUNCTION("IMPORTRANGE(""https://docs.google.com/spreadsheets/d/1-uDff_7J0KD5mKrp0Vvzr7lt3OU09vwQwhkpOPPYv2Y/edit?usp=sharing"",""งบพรบ!EV32"")"),0)</f>
        <v>0</v>
      </c>
      <c r="M341" s="425">
        <f ca="1">IFERROR(__xludf.DUMMYFUNCTION("IMPORTRANGE(""https://docs.google.com/spreadsheets/d/1-uDff_7J0KD5mKrp0Vvzr7lt3OU09vwQwhkpOPPYv2Y/edit?usp=sharing"",""งบพรบ!EY32"")"),0)</f>
        <v>0</v>
      </c>
      <c r="N341" s="425">
        <f ca="1">IFERROR(__xludf.DUMMYFUNCTION("IMPORTRANGE(""https://docs.google.com/spreadsheets/d/1-uDff_7J0KD5mKrp0Vvzr7lt3OU09vwQwhkpOPPYv2Y/edit?usp=sharing"",""งบพรบ!FA32"")"),0)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159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IFERROR(__xludf.DUMMYFUNCTION("IMPORTRANGE(""https://docs.google.com/spreadsheets/d/1eHaY18a8A9IcSdp1K8H6x8fbOy06t2VsZHhMHf-1x7Y/edit?usp=sharing"",""แผน!EK32"")"),1200)</f>
        <v>1200</v>
      </c>
      <c r="J344" s="424">
        <f ca="1">IFERROR(__xludf.DUMMYFUNCTION("IMPORTRANGE(""https://docs.google.com/spreadsheets/d/1awYsYK3VOup2i3Pq_Yjnu8DRu_mYwSBnCR2QPthd0rU/edit?usp=sharing"",""ศูนย์ยกเว้นโฉนด!D32"")"),159)</f>
        <v>159</v>
      </c>
      <c r="K344" s="425">
        <f ca="1">IF(I344&gt;0,J344*100/I344,0)</f>
        <v>13.25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IFERROR(__xludf.DUMMYFUNCTION("IMPORTRANGE(""https://docs.google.com/spreadsheets/d/1eHaY18a8A9IcSdp1K8H6x8fbOy06t2VsZHhMHf-1x7Y/edit?usp=sharing"",""แผน!EL32"")"),5)</f>
        <v>5</v>
      </c>
      <c r="J346" s="424">
        <f ca="1">IFERROR(__xludf.DUMMYFUNCTION("IMPORTRANGE(""https://docs.google.com/spreadsheets/d/1awYsYK3VOup2i3Pq_Yjnu8DRu_mYwSBnCR2QPthd0rU/edit?usp=sharing"",""ศูนย์รวม!E32"")"),1)</f>
        <v>1</v>
      </c>
      <c r="K346" s="425">
        <f ca="1">IF(I346&gt;0,J346*100/I346,0)</f>
        <v>20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IFERROR(__xludf.DUMMYFUNCTION("IMPORTRANGE(""https://docs.google.com/spreadsheets/d/1awYsYK3VOup2i3Pq_Yjnu8DRu_mYwSBnCR2QPthd0rU/edit?usp=sharing"",""ศูนย์ยกเว้นโฉนด!F32"")"),0)</f>
        <v>0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IFERROR(__xludf.DUMMYFUNCTION("IMPORTRANGE(""https://docs.google.com/spreadsheets/d/1awYsYK3VOup2i3Pq_Yjnu8DRu_mYwSBnCR2QPthd0rU/edit?usp=sharing"",""ศูนย์ยกเว้นโฉนด!G32"")"),0)</f>
        <v>0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IFERROR(__xludf.DUMMYFUNCTION("IMPORTRANGE(""https://docs.google.com/spreadsheets/d/1awYsYK3VOup2i3Pq_Yjnu8DRu_mYwSBnCR2QPthd0rU/edit?usp=sharing"",""ศูนย์ยกเว้นโฉนด!H32"")"),0)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1213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IFERROR(__xludf.DUMMYFUNCTION("IMPORTRANGE(""https://docs.google.com/spreadsheets/d/1awYsYK3VOup2i3Pq_Yjnu8DRu_mYwSBnCR2QPthd0rU/edit?usp=sharing"",""โฉนดM3!G32"")"),997)</f>
        <v>997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IFERROR(__xludf.DUMMYFUNCTION("IMPORTRANGE(""https://docs.google.com/spreadsheets/d/1awYsYK3VOup2i3Pq_Yjnu8DRu_mYwSBnCR2QPthd0rU/edit?usp=sharing"",""โฉนดM3!H32"")"),216)</f>
        <v>216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632185</v>
      </c>
      <c r="M356" s="577">
        <f ca="1">M357+M358</f>
        <v>534585</v>
      </c>
      <c r="N356" s="577">
        <f ca="1">N357+N358</f>
        <v>118480</v>
      </c>
      <c r="O356" s="577">
        <f ca="1">IF(L356&gt;0,N356*100/L356,0)</f>
        <v>18.741349446760047</v>
      </c>
      <c r="P356" s="577">
        <f ca="1">IF(M356&gt;0,N356*100/M356,0)</f>
        <v>22.162986241664093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632185</v>
      </c>
      <c r="M358" s="425">
        <f ca="1">M361+M364</f>
        <v>534585</v>
      </c>
      <c r="N358" s="425">
        <f ca="1">N361+N364</f>
        <v>118480</v>
      </c>
      <c r="O358" s="425">
        <f ca="1">IF(L358&gt;0,N358*100/L358,0)</f>
        <v>18.741349446760047</v>
      </c>
      <c r="P358" s="425">
        <f ca="1">IF(M358&gt;0,N358*100/M358,0)</f>
        <v>22.162986241664093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632185</v>
      </c>
      <c r="M359" s="425">
        <f ca="1">M360+M361</f>
        <v>534585</v>
      </c>
      <c r="N359" s="425">
        <f ca="1">N360+N361</f>
        <v>118480</v>
      </c>
      <c r="O359" s="425">
        <f ca="1">IF(L359&gt;0,N359*100/L359,0)</f>
        <v>18.741349446760047</v>
      </c>
      <c r="P359" s="425">
        <f ca="1">IF(M359&gt;0,N359*100/M359,0)</f>
        <v>22.162986241664093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IFERROR(__xludf.DUMMYFUNCTION("IMPORTRANGE(""https://docs.google.com/spreadsheets/d/1-uDff_7J0KD5mKrp0Vvzr7lt3OU09vwQwhkpOPPYv2Y/edit?usp=sharing"",""งบพรบ!FC32"")"),632185)</f>
        <v>632185</v>
      </c>
      <c r="M361" s="425">
        <f ca="1">IFERROR(__xludf.DUMMYFUNCTION("IMPORTRANGE(""https://docs.google.com/spreadsheets/d/1-uDff_7J0KD5mKrp0Vvzr7lt3OU09vwQwhkpOPPYv2Y/edit?usp=sharing"",""งบพรบ!FH32"")"),534585)</f>
        <v>534585</v>
      </c>
      <c r="N361" s="425">
        <f ca="1">IFERROR(__xludf.DUMMYFUNCTION("IMPORTRANGE(""https://docs.google.com/spreadsheets/d/1-uDff_7J0KD5mKrp0Vvzr7lt3OU09vwQwhkpOPPYv2Y/edit?usp=sharing"",""งบพรบ!FJ32"")"),118480)</f>
        <v>118480</v>
      </c>
      <c r="O361" s="425">
        <f ca="1">IF(L361&gt;0,N361*100/L361,0)</f>
        <v>18.741349446760047</v>
      </c>
      <c r="P361" s="425">
        <f ca="1">IF(M361&gt;0,N361*100/M361,0)</f>
        <v>22.162986241664093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IFERROR(__xludf.DUMMYFUNCTION("IMPORTRANGE(""https://docs.google.com/spreadsheets/d/1-uDff_7J0KD5mKrp0Vvzr7lt3OU09vwQwhkpOPPYv2Y/edit?usp=sharing"",""งบพรบ!FF32"")"),0)</f>
        <v>0</v>
      </c>
      <c r="M364" s="425">
        <f ca="1">IFERROR(__xludf.DUMMYFUNCTION("IMPORTRANGE(""https://docs.google.com/spreadsheets/d/1-uDff_7J0KD5mKrp0Vvzr7lt3OU09vwQwhkpOPPYv2Y/edit?usp=sharing"",""งบพรบ!FI32"")"),0)</f>
        <v>0</v>
      </c>
      <c r="N364" s="425">
        <f ca="1">IFERROR(__xludf.DUMMYFUNCTION("IMPORTRANGE(""https://docs.google.com/spreadsheets/d/1-uDff_7J0KD5mKrp0Vvzr7lt3OU09vwQwhkpOPPYv2Y/edit?usp=sharing"",""งบพรบ!FK32"")"),0)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302</v>
      </c>
      <c r="J365" s="438">
        <f ca="1">J371</f>
        <v>37</v>
      </c>
      <c r="K365" s="439">
        <f ca="1">IF(I365&gt;0,J365*100/I365,0)</f>
        <v>12.251655629139073</v>
      </c>
      <c r="L365" s="571"/>
      <c r="M365" s="571"/>
      <c r="N365" s="571"/>
      <c r="O365" s="571"/>
      <c r="P365" s="571"/>
    </row>
    <row r="366" spans="1:16" ht="19.5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IFERROR(__xludf.DUMMYFUNCTION("IMPORTRANGE(""https://docs.google.com/spreadsheets/d/1tdoBKaGub7dwA3U6UFTqxio9LNnvDCQjHKmttSEBsFQ/edit?usp=sharing"",""จัดที่ดิน!AB32"")"),75)</f>
        <v>75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IFERROR(__xludf.DUMMYFUNCTION("IMPORTRANGE(""https://docs.google.com/spreadsheets/d/1eHaY18a8A9IcSdp1K8H6x8fbOy06t2VsZHhMHf-1x7Y/edit?usp=sharing"",""แผน!EW32"")"),2465)</f>
        <v>2465</v>
      </c>
      <c r="J368" s="565">
        <f ca="1">IFERROR(__xludf.DUMMYFUNCTION("IMPORTRANGE(""https://docs.google.com/spreadsheets/d/1tdoBKaGub7dwA3U6UFTqxio9LNnvDCQjHKmttSEBsFQ/edit?usp=sharing"",""จัดที่ดิน!AC32"")"),601.089999999999)</f>
        <v>601.08999999999901</v>
      </c>
      <c r="K368" s="425">
        <f ca="1">IF(I368&gt;0,J368*100/I368,0)</f>
        <v>24.38498985801213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IFERROR(__xludf.DUMMYFUNCTION("IMPORTRANGE(""https://docs.google.com/spreadsheets/d/1eHaY18a8A9IcSdp1K8H6x8fbOy06t2VsZHhMHf-1x7Y/edit?usp=sharing"",""แผน!EX32"")"),457)</f>
        <v>457</v>
      </c>
      <c r="J369" s="424">
        <f ca="1">IFERROR(__xludf.DUMMYFUNCTION("IMPORTRANGE(""https://docs.google.com/spreadsheets/d/1tdoBKaGub7dwA3U6UFTqxio9LNnvDCQjHKmttSEBsFQ/edit?usp=sharing"",""จัดที่ดิน!AD32"")"),109)</f>
        <v>109</v>
      </c>
      <c r="K369" s="425">
        <f ca="1">IF(I369&gt;0,J369*100/I369,0)</f>
        <v>23.851203501094091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IFERROR(__xludf.DUMMYFUNCTION("IMPORTRANGE(""https://docs.google.com/spreadsheets/d/1tdoBKaGub7dwA3U6UFTqxio9LNnvDCQjHKmttSEBsFQ/edit?usp=sharing"",""จัดที่ดิน!AE32"")"),924.35)</f>
        <v>924.35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IFERROR(__xludf.DUMMYFUNCTION("IMPORTRANGE(""https://docs.google.com/spreadsheets/d/1eHaY18a8A9IcSdp1K8H6x8fbOy06t2VsZHhMHf-1x7Y/edit?usp=sharing"",""แผน!EY32"")"),302)</f>
        <v>302</v>
      </c>
      <c r="J371" s="424">
        <f ca="1">IFERROR(__xludf.DUMMYFUNCTION("IMPORTRANGE(""https://docs.google.com/spreadsheets/d/1tdoBKaGub7dwA3U6UFTqxio9LNnvDCQjHKmttSEBsFQ/edit?usp=sharing"",""จัดที่ดิน!AF32"")"),37)</f>
        <v>37</v>
      </c>
      <c r="K371" s="425">
        <f ca="1">IF(I371&gt;0,J371*100/I371,0)</f>
        <v>12.251655629139073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IFERROR(__xludf.DUMMYFUNCTION("IMPORTRANGE(""https://docs.google.com/spreadsheets/d/1tdoBKaGub7dwA3U6UFTqxio9LNnvDCQjHKmttSEBsFQ/edit?usp=sharing"",""จัดที่ดิน!AG32"")"),335.06)</f>
        <v>335.06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IFERROR(__xludf.DUMMYFUNCTION("IMPORTRANGE(""https://docs.google.com/spreadsheets/d/1-uDff_7J0KD5mKrp0Vvzr7lt3OU09vwQwhkpOPPYv2Y/edit?usp=sharing"",""งบพรบ!FM32"")"),0)</f>
        <v>0</v>
      </c>
      <c r="M382" s="521">
        <f ca="1">IFERROR(__xludf.DUMMYFUNCTION("IMPORTRANGE(""https://docs.google.com/spreadsheets/d/1-uDff_7J0KD5mKrp0Vvzr7lt3OU09vwQwhkpOPPYv2Y/edit?usp=sharing"",""งบพรบ!FR32"")"),0)</f>
        <v>0</v>
      </c>
      <c r="N382" s="521">
        <f ca="1">IFERROR(__xludf.DUMMYFUNCTION("IMPORTRANGE(""https://docs.google.com/spreadsheets/d/1-uDff_7J0KD5mKrp0Vvzr7lt3OU09vwQwhkpOPPYv2Y/edit?usp=sharing"",""งบพรบ!FT32"")"),0)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IFERROR(__xludf.DUMMYFUNCTION("IMPORTRANGE(""https://docs.google.com/spreadsheets/d/1-uDff_7J0KD5mKrp0Vvzr7lt3OU09vwQwhkpOPPYv2Y/edit?usp=sharing"",""งบพรบ!FP32"")"),0)</f>
        <v>0</v>
      </c>
      <c r="M385" s="521">
        <f ca="1">IFERROR(__xludf.DUMMYFUNCTION("IMPORTRANGE(""https://docs.google.com/spreadsheets/d/1-uDff_7J0KD5mKrp0Vvzr7lt3OU09vwQwhkpOPPYv2Y/edit?usp=sharing"",""งบพรบ!FS32"")"),0)</f>
        <v>0</v>
      </c>
      <c r="N385" s="521">
        <f ca="1">IFERROR(__xludf.DUMMYFUNCTION("IMPORTRANGE(""https://docs.google.com/spreadsheets/d/1-uDff_7J0KD5mKrp0Vvzr7lt3OU09vwQwhkpOPPYv2Y/edit?usp=sharing"",""งบพรบ!FU32"")"),0)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2">
    <mergeCell ref="A1:P1"/>
    <mergeCell ref="A2:P2"/>
    <mergeCell ref="A3:P3"/>
    <mergeCell ref="N5:P5"/>
    <mergeCell ref="A7:G7"/>
    <mergeCell ref="A17:G17"/>
    <mergeCell ref="A30:G30"/>
    <mergeCell ref="A56:G56"/>
    <mergeCell ref="B57:G57"/>
    <mergeCell ref="A5:G6"/>
    <mergeCell ref="I5:K5"/>
    <mergeCell ref="L5:M5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FD994-33FC-4085-A045-A3131E663934}">
  <sheetPr>
    <outlinePr summaryBelow="0" summaryRight="0"/>
    <pageSetUpPr fitToPage="1"/>
  </sheetPr>
  <dimension ref="A1:P391"/>
  <sheetViews>
    <sheetView view="pageBreakPreview" zoomScale="60" zoomScaleNormal="70" workbookViewId="0">
      <pane xSplit="8" ySplit="17" topLeftCell="I18" activePane="bottomRight" state="frozen"/>
      <selection activeCell="H27" sqref="H27"/>
      <selection pane="topRight" activeCell="H27" sqref="H27"/>
      <selection pane="bottomLeft" activeCell="H27" sqref="H27"/>
      <selection pane="bottomRight" activeCell="H27" sqref="H27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5.140625" customWidth="1"/>
    <col min="11" max="11" width="12.57031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869" t="s">
        <v>0</v>
      </c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  <c r="O1" s="869"/>
      <c r="P1" s="869"/>
    </row>
    <row r="2" spans="1:16" ht="19.5" x14ac:dyDescent="0.3">
      <c r="A2" s="869" t="s">
        <v>161</v>
      </c>
      <c r="B2" s="869"/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  <c r="P2" s="869"/>
    </row>
    <row r="3" spans="1:16" ht="19.5" x14ac:dyDescent="0.3">
      <c r="A3" s="869"/>
      <c r="B3" s="869"/>
      <c r="C3" s="869"/>
      <c r="D3" s="869"/>
      <c r="E3" s="869"/>
      <c r="F3" s="869"/>
      <c r="G3" s="869"/>
      <c r="H3" s="869"/>
      <c r="I3" s="869"/>
      <c r="J3" s="869"/>
      <c r="K3" s="869"/>
      <c r="L3" s="869"/>
      <c r="M3" s="869"/>
      <c r="N3" s="869"/>
      <c r="O3" s="869"/>
      <c r="P3" s="869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5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493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2802978</v>
      </c>
      <c r="M18" s="704">
        <f ca="1">M19+M20</f>
        <v>2395321</v>
      </c>
      <c r="N18" s="704">
        <f ca="1">N19+N20</f>
        <v>1225946.6399999999</v>
      </c>
      <c r="O18" s="704">
        <f ca="1">IF(L18&gt;0,N18*100/L18,0)</f>
        <v>43.737290838529589</v>
      </c>
      <c r="P18" s="704">
        <f ca="1">IF(M18&gt;0,N18*100/M18,0)</f>
        <v>51.180891412883696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2802978</v>
      </c>
      <c r="M20" s="817">
        <f ca="1">M23+M26</f>
        <v>2395321</v>
      </c>
      <c r="N20" s="817">
        <f ca="1">N23+N26</f>
        <v>1225946.6399999999</v>
      </c>
      <c r="O20" s="817">
        <f ca="1">IF(L20&gt;0,N20*100/L20,0)</f>
        <v>43.737290838529589</v>
      </c>
      <c r="P20" s="817">
        <f ca="1">IF(M20&gt;0,N20*100/M20,0)</f>
        <v>51.180891412883696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2802978</v>
      </c>
      <c r="M21" s="425">
        <f ca="1">M22+M23</f>
        <v>2395321</v>
      </c>
      <c r="N21" s="425">
        <f ca="1">N22+N23</f>
        <v>1225946.6399999999</v>
      </c>
      <c r="O21" s="425">
        <f ca="1">IF(L21&gt;0,N21*100/L21,0)</f>
        <v>43.737290838529589</v>
      </c>
      <c r="P21" s="425">
        <f ca="1">IF(M21&gt;0,N21*100/M21,0)</f>
        <v>51.180891412883696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2802978</v>
      </c>
      <c r="M23" s="425">
        <f ca="1">M49+M64+M77+M99+M130+M144+M162+M191+M178+M271+M287+M308+M325+M338+M361+M382</f>
        <v>2395321</v>
      </c>
      <c r="N23" s="425">
        <f ca="1">N49+N64+N77+N99+N130+N144+N162+N191+N178+N271+N287+N308+N325+N338+N361+N382</f>
        <v>1225946.6399999999</v>
      </c>
      <c r="O23" s="425">
        <f ca="1">IF(L23&gt;0,N23*100/L23,0)</f>
        <v>43.737290838529589</v>
      </c>
      <c r="P23" s="425">
        <f ca="1">IF(M23&gt;0,N23*100/M23,0)</f>
        <v>51.180891412883696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5" hidden="1" customHeight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2802978</v>
      </c>
      <c r="M40" s="809">
        <f ca="1">M44+M59+M72+M94+M125+M139+M157+M173+M186+M266+M282+M303+M320+M333+M356</f>
        <v>2395321</v>
      </c>
      <c r="N40" s="809">
        <f ca="1">N44+N59+N72+N94+N125+N139+N157+N173+N186+N266+N282+N303+N320+N333+N356</f>
        <v>1225946.6399999999</v>
      </c>
      <c r="O40" s="809">
        <f ca="1">IF(L40&gt;0,N40*100/L40,0)</f>
        <v>43.737290838529589</v>
      </c>
      <c r="P40" s="809">
        <f ca="1">IF(M40&gt;0,N40*100/M40,0)</f>
        <v>51.180891412883696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528543</v>
      </c>
      <c r="M44" s="794">
        <f ca="1">M45+M46</f>
        <v>532786</v>
      </c>
      <c r="N44" s="794">
        <f ca="1">N45+N46</f>
        <v>215742</v>
      </c>
      <c r="O44" s="794">
        <f ca="1">IF(L44&gt;0,N44*100/L44,0)</f>
        <v>40.818249413954966</v>
      </c>
      <c r="P44" s="794">
        <f ca="1">IF(M44&gt;0,N44*100/M44,0)</f>
        <v>40.49318112713172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528543</v>
      </c>
      <c r="M46" s="783">
        <f ca="1">M49+M52</f>
        <v>532786</v>
      </c>
      <c r="N46" s="783">
        <f ca="1">N49+N52</f>
        <v>215742</v>
      </c>
      <c r="O46" s="783">
        <f ca="1">IF(L46&gt;0,N46*100/L46,0)</f>
        <v>40.818249413954966</v>
      </c>
      <c r="P46" s="783">
        <f ca="1">IF(M46&gt;0,N46*100/M46,0)</f>
        <v>40.49318112713172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528543</v>
      </c>
      <c r="M47" s="425">
        <f ca="1">M48+M49</f>
        <v>532786</v>
      </c>
      <c r="N47" s="425">
        <f ca="1">N48+N49</f>
        <v>215742</v>
      </c>
      <c r="O47" s="425">
        <f ca="1">IF(L47&gt;0,N47*100/L47,0)</f>
        <v>40.818249413954966</v>
      </c>
      <c r="P47" s="425">
        <f ca="1">IF(M47&gt;0,N47*100/M47,0)</f>
        <v>40.49318112713172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IFERROR(__xludf.DUMMYFUNCTION("IMPORTRANGE(""https://docs.google.com/spreadsheets/d/1-uDff_7J0KD5mKrp0Vvzr7lt3OU09vwQwhkpOPPYv2Y/edit?usp=sharing"",""งบพรบ!P33"")"),528543)</f>
        <v>528543</v>
      </c>
      <c r="M49" s="425">
        <f ca="1">IFERROR(__xludf.DUMMYFUNCTION("IMPORTRANGE(""https://docs.google.com/spreadsheets/d/1-uDff_7J0KD5mKrp0Vvzr7lt3OU09vwQwhkpOPPYv2Y/edit?usp=sharing"",""งบพรบ!V33"")"),532786)</f>
        <v>532786</v>
      </c>
      <c r="N49" s="425">
        <f ca="1">IFERROR(__xludf.DUMMYFUNCTION("IMPORTRANGE(""https://docs.google.com/spreadsheets/d/1-uDff_7J0KD5mKrp0Vvzr7lt3OU09vwQwhkpOPPYv2Y/edit?usp=sharing"",""งบพรบ!Y33"")"),215742)</f>
        <v>215742</v>
      </c>
      <c r="O49" s="425">
        <f ca="1">IF(L49&gt;0,N49*100/L49,0)</f>
        <v>40.818249413954966</v>
      </c>
      <c r="P49" s="425">
        <f ca="1">IF(M49&gt;0,N49*100/M49,0)</f>
        <v>40.49318112713172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IFERROR(__xludf.DUMMYFUNCTION("IMPORTRANGE(""https://docs.google.com/spreadsheets/d/1-uDff_7J0KD5mKrp0Vvzr7lt3OU09vwQwhkpOPPYv2Y/edit?usp=sharing"",""งบพรบ!S33"")"),0)</f>
        <v>0</v>
      </c>
      <c r="M52" s="425">
        <f ca="1">IFERROR(__xludf.DUMMYFUNCTION("IMPORTRANGE(""https://docs.google.com/spreadsheets/d/1-uDff_7J0KD5mKrp0Vvzr7lt3OU09vwQwhkpOPPYv2Y/edit?usp=sharing"",""งบพรบ!W33"")"),0)</f>
        <v>0</v>
      </c>
      <c r="N52" s="425">
        <f ca="1">IFERROR(__xludf.DUMMYFUNCTION("IMPORTRANGE(""https://docs.google.com/spreadsheets/d/1-uDff_7J0KD5mKrp0Vvzr7lt3OU09vwQwhkpOPPYv2Y/edit?usp=sharing"",""งบพรบ!Z33"")"),0)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602100</v>
      </c>
      <c r="M59" s="763">
        <f ca="1">M60+M61</f>
        <v>453850</v>
      </c>
      <c r="N59" s="763">
        <f ca="1">N60+N61</f>
        <v>297267.42</v>
      </c>
      <c r="O59" s="763">
        <f ca="1">IF(L59&gt;0,N59*100/L59,0)</f>
        <v>49.371768809167911</v>
      </c>
      <c r="P59" s="763">
        <f ca="1">IF(M59&gt;0,N59*100/M59,0)</f>
        <v>65.499045940288639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602100</v>
      </c>
      <c r="M61" s="752">
        <f ca="1">M64+M67</f>
        <v>453850</v>
      </c>
      <c r="N61" s="752">
        <f ca="1">N64+N67</f>
        <v>297267.42</v>
      </c>
      <c r="O61" s="752">
        <f ca="1">IF(L61&gt;0,N61*100/L61,0)</f>
        <v>49.371768809167911</v>
      </c>
      <c r="P61" s="752">
        <f ca="1">IF(M61&gt;0,N61*100/M61,0)</f>
        <v>65.499045940288639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602100</v>
      </c>
      <c r="M62" s="425">
        <f ca="1">M63+M64</f>
        <v>453850</v>
      </c>
      <c r="N62" s="425">
        <f ca="1">N63+N64</f>
        <v>297267.42</v>
      </c>
      <c r="O62" s="425">
        <f ca="1">IF(L62&gt;0,N62*100/L62,0)</f>
        <v>49.371768809167911</v>
      </c>
      <c r="P62" s="425">
        <f ca="1">IF(M62&gt;0,N62*100/M62,0)</f>
        <v>65.499045940288639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IFERROR(__xludf.DUMMYFUNCTION("IMPORTRANGE(""https://docs.google.com/spreadsheets/d/1-uDff_7J0KD5mKrp0Vvzr7lt3OU09vwQwhkpOPPYv2Y/edit?usp=sharing"",""งบพรบ!AC33"")"),602100)</f>
        <v>602100</v>
      </c>
      <c r="M64" s="425">
        <f ca="1">IFERROR(__xludf.DUMMYFUNCTION("IMPORTRANGE(""https://docs.google.com/spreadsheets/d/1-uDff_7J0KD5mKrp0Vvzr7lt3OU09vwQwhkpOPPYv2Y/edit?usp=sharing"",""งบพรบ!AH33"")"),453850)</f>
        <v>453850</v>
      </c>
      <c r="N64" s="425">
        <f ca="1">IFERROR(__xludf.DUMMYFUNCTION("IMPORTRANGE(""https://docs.google.com/spreadsheets/d/1-uDff_7J0KD5mKrp0Vvzr7lt3OU09vwQwhkpOPPYv2Y/edit?usp=sharing"",""งบพรบ!AJ33"")"),297267.42)</f>
        <v>297267.42</v>
      </c>
      <c r="O64" s="425">
        <f ca="1">IF(L64&gt;0,N64*100/L64,0)</f>
        <v>49.371768809167911</v>
      </c>
      <c r="P64" s="425">
        <f ca="1">IF(M64&gt;0,N64*100/M64,0)</f>
        <v>65.499045940288639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IFERROR(__xludf.DUMMYFUNCTION("IMPORTRANGE(""https://docs.google.com/spreadsheets/d/1-uDff_7J0KD5mKrp0Vvzr7lt3OU09vwQwhkpOPPYv2Y/edit?usp=sharing"",""งบพรบ!AF33"")"),0)</f>
        <v>0</v>
      </c>
      <c r="M67" s="747">
        <f ca="1">IFERROR(__xludf.DUMMYFUNCTION("IMPORTRANGE(""https://docs.google.com/spreadsheets/d/1-uDff_7J0KD5mKrp0Vvzr7lt3OU09vwQwhkpOPPYv2Y/edit?usp=sharing"",""งบพรบ!AI33"")"),0)</f>
        <v>0</v>
      </c>
      <c r="N67" s="747">
        <f ca="1">IFERROR(__xludf.DUMMYFUNCTION("IMPORTRANGE(""https://docs.google.com/spreadsheets/d/1-uDff_7J0KD5mKrp0Vvzr7lt3OU09vwQwhkpOPPYv2Y/edit?usp=sharing"",""งบพรบ!AK33"")"),0)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19.5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1</v>
      </c>
      <c r="J70" s="705">
        <f>J82</f>
        <v>1</v>
      </c>
      <c r="K70" s="704">
        <f ca="1">IF(I70&gt;0,J70*100/I70,0)</f>
        <v>100</v>
      </c>
      <c r="L70" s="703"/>
      <c r="M70" s="703"/>
      <c r="N70" s="703"/>
      <c r="O70" s="703"/>
      <c r="P70" s="703"/>
    </row>
    <row r="71" spans="1:16" ht="19.5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34</v>
      </c>
      <c r="J71" s="705">
        <f>J83</f>
        <v>34</v>
      </c>
      <c r="K71" s="704">
        <f ca="1">IF(I71&gt;0,J71*100/I71,0)</f>
        <v>100</v>
      </c>
      <c r="L71" s="703"/>
      <c r="M71" s="703"/>
      <c r="N71" s="703"/>
      <c r="O71" s="703"/>
      <c r="P71" s="703"/>
    </row>
    <row r="72" spans="1:16" ht="19.5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522300</v>
      </c>
      <c r="M72" s="577">
        <f ca="1">M73+M74</f>
        <v>444700</v>
      </c>
      <c r="N72" s="577">
        <f ca="1">N73+N74</f>
        <v>286750</v>
      </c>
      <c r="O72" s="577">
        <f ca="1">IF(L72&gt;0,N72*100/L72,0)</f>
        <v>54.901397664177672</v>
      </c>
      <c r="P72" s="577">
        <f ca="1">IF(M72&gt;0,N72*100/M72,0)</f>
        <v>64.481673038003152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522300</v>
      </c>
      <c r="M74" s="425">
        <f ca="1">M77+M80</f>
        <v>444700</v>
      </c>
      <c r="N74" s="425">
        <f ca="1">N77+N80</f>
        <v>286750</v>
      </c>
      <c r="O74" s="425">
        <f ca="1">IF(L74&gt;0,N74*100/L74,0)</f>
        <v>54.901397664177672</v>
      </c>
      <c r="P74" s="425">
        <f ca="1">IF(M74&gt;0,N74*100/M74,0)</f>
        <v>64.481673038003152</v>
      </c>
    </row>
    <row r="75" spans="1:16" ht="18.75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522300</v>
      </c>
      <c r="M75" s="425">
        <f ca="1">M76+M77</f>
        <v>444700</v>
      </c>
      <c r="N75" s="425">
        <f ca="1">N76+N77</f>
        <v>286750</v>
      </c>
      <c r="O75" s="425">
        <f ca="1">IF(L75&gt;0,N75*100/L75,0)</f>
        <v>54.901397664177672</v>
      </c>
      <c r="P75" s="425">
        <f ca="1">IF(M75&gt;0,N75*100/M75,0)</f>
        <v>64.481673038003152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IFERROR(__xludf.DUMMYFUNCTION("IMPORTRANGE(""https://docs.google.com/spreadsheets/d/1-uDff_7J0KD5mKrp0Vvzr7lt3OU09vwQwhkpOPPYv2Y/edit?usp=sharing"",""งบพรบ!AM33"")"),522300)</f>
        <v>522300</v>
      </c>
      <c r="M77" s="425">
        <f ca="1">IFERROR(__xludf.DUMMYFUNCTION("IMPORTRANGE(""https://docs.google.com/spreadsheets/d/1-uDff_7J0KD5mKrp0Vvzr7lt3OU09vwQwhkpOPPYv2Y/edit?usp=sharing"",""งบพรบ!AR33"")"),444700)</f>
        <v>444700</v>
      </c>
      <c r="N77" s="425">
        <f ca="1">IFERROR(__xludf.DUMMYFUNCTION("IMPORTRANGE(""https://docs.google.com/spreadsheets/d/1-uDff_7J0KD5mKrp0Vvzr7lt3OU09vwQwhkpOPPYv2Y/edit?usp=sharing"",""งบพรบ!AT33"")"),286750)</f>
        <v>286750</v>
      </c>
      <c r="O77" s="425">
        <f ca="1">IF(L77&gt;0,N77*100/L77,0)</f>
        <v>54.901397664177672</v>
      </c>
      <c r="P77" s="425">
        <f ca="1">IF(M77&gt;0,N77*100/M77,0)</f>
        <v>64.481673038003152</v>
      </c>
    </row>
    <row r="78" spans="1:16" ht="18.75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IFERROR(__xludf.DUMMYFUNCTION("IMPORTRANGE(""https://docs.google.com/spreadsheets/d/1-uDff_7J0KD5mKrp0Vvzr7lt3OU09vwQwhkpOPPYv2Y/edit?usp=sharing"",""งบพรบ!AP33"")"),0)</f>
        <v>0</v>
      </c>
      <c r="M80" s="425">
        <f ca="1">IFERROR(__xludf.DUMMYFUNCTION("IMPORTRANGE(""https://docs.google.com/spreadsheets/d/1-uDff_7J0KD5mKrp0Vvzr7lt3OU09vwQwhkpOPPYv2Y/edit?usp=sharing"",""งบพรบ!AS33"")"),0)</f>
        <v>0</v>
      </c>
      <c r="N80" s="425">
        <f ca="1">IFERROR(__xludf.DUMMYFUNCTION("IMPORTRANGE(""https://docs.google.com/spreadsheets/d/1-uDff_7J0KD5mKrp0Vvzr7lt3OU09vwQwhkpOPPYv2Y/edit?usp=sharing"",""งบพรบ!AU33"")"),0)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1</v>
      </c>
      <c r="J82" s="625">
        <f>J84+J86+J88</f>
        <v>1</v>
      </c>
      <c r="K82" s="624">
        <f ca="1">IF(I82&gt;0,J82*100/I82,0)</f>
        <v>100</v>
      </c>
      <c r="L82" s="525"/>
      <c r="M82" s="525"/>
      <c r="N82" s="525"/>
      <c r="O82" s="525"/>
      <c r="P82" s="525"/>
    </row>
    <row r="83" spans="1:16" ht="19.5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34</v>
      </c>
      <c r="J83" s="625">
        <f>J85+J87+J89</f>
        <v>34</v>
      </c>
      <c r="K83" s="624">
        <f ca="1">IF(I83&gt;0,J83*100/I83,0)</f>
        <v>100</v>
      </c>
      <c r="L83" s="525"/>
      <c r="M83" s="525"/>
      <c r="N83" s="525"/>
      <c r="O83" s="525"/>
      <c r="P83" s="525"/>
    </row>
    <row r="84" spans="1:16" ht="18.75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IFERROR(__xludf.DUMMYFUNCTION("IMPORTRANGE(""https://docs.google.com/spreadsheets/d/1eHaY18a8A9IcSdp1K8H6x8fbOy06t2VsZHhMHf-1x7Y/edit?usp=sharing"",""แผน!H33"")"),0)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IFERROR(__xludf.DUMMYFUNCTION("IMPORTRANGE(""https://docs.google.com/spreadsheets/d/1eHaY18a8A9IcSdp1K8H6x8fbOy06t2VsZHhMHf-1x7Y/edit?usp=sharing"",""แผน!I33"")"),0)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IFERROR(__xludf.DUMMYFUNCTION("IMPORTRANGE(""https://docs.google.com/spreadsheets/d/1eHaY18a8A9IcSdp1K8H6x8fbOy06t2VsZHhMHf-1x7Y/edit?usp=sharing"",""แผน!F33"")"),0)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IFERROR(__xludf.DUMMYFUNCTION("IMPORTRANGE(""https://docs.google.com/spreadsheets/d/1eHaY18a8A9IcSdp1K8H6x8fbOy06t2VsZHhMHf-1x7Y/edit?usp=sharing"",""แผน!G33"")"),0)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IFERROR(__xludf.DUMMYFUNCTION("IMPORTRANGE(""https://docs.google.com/spreadsheets/d/1eHaY18a8A9IcSdp1K8H6x8fbOy06t2VsZHhMHf-1x7Y/edit?usp=sharing"",""แผน!D33"")"),1)</f>
        <v>1</v>
      </c>
      <c r="J88" s="595">
        <v>1</v>
      </c>
      <c r="K88" s="621">
        <f ca="1">IF(I88&gt;0,J88*100/I88,0)</f>
        <v>100</v>
      </c>
      <c r="L88" s="525"/>
      <c r="M88" s="525"/>
      <c r="N88" s="525"/>
      <c r="O88" s="525"/>
      <c r="P88" s="525"/>
    </row>
    <row r="89" spans="1:16" ht="18.75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IFERROR(__xludf.DUMMYFUNCTION("IMPORTRANGE(""https://docs.google.com/spreadsheets/d/1eHaY18a8A9IcSdp1K8H6x8fbOy06t2VsZHhMHf-1x7Y/edit?usp=sharing"",""แผน!E33"")"),34)</f>
        <v>34</v>
      </c>
      <c r="J89" s="595">
        <v>34</v>
      </c>
      <c r="K89" s="621">
        <f ca="1">IF(I89&gt;0,J89*100/I89,0)</f>
        <v>100</v>
      </c>
      <c r="L89" s="525"/>
      <c r="M89" s="525"/>
      <c r="N89" s="525"/>
      <c r="O89" s="525"/>
      <c r="P89" s="525"/>
    </row>
    <row r="90" spans="1:16" ht="18.75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IFERROR(__xludf.DUMMYFUNCTION("IMPORTRANGE(""https://docs.google.com/spreadsheets/d/1eHaY18a8A9IcSdp1K8H6x8fbOy06t2VsZHhMHf-1x7Y/edit?usp=sharing"",""แผน!J33"")"),1)</f>
        <v>1</v>
      </c>
      <c r="J90" s="595">
        <v>0</v>
      </c>
      <c r="K90" s="621">
        <f ca="1">IF(I90&gt;0,J90*100/I90,0)</f>
        <v>0</v>
      </c>
      <c r="L90" s="525"/>
      <c r="M90" s="525"/>
      <c r="N90" s="525"/>
      <c r="O90" s="525"/>
      <c r="P90" s="525"/>
    </row>
    <row r="91" spans="1:16" ht="19.5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54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18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72600</v>
      </c>
      <c r="M94" s="577">
        <f ca="1">M95+M96</f>
        <v>72600</v>
      </c>
      <c r="N94" s="577">
        <f ca="1">N95+N96</f>
        <v>2440</v>
      </c>
      <c r="O94" s="577">
        <f ca="1">IF(L94&gt;0,N94*100/L94,0)</f>
        <v>3.3608815426997247</v>
      </c>
      <c r="P94" s="577">
        <f ca="1">IF(M94&gt;0,N94*100/M94,0)</f>
        <v>3.3608815426997247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72600</v>
      </c>
      <c r="M96" s="425">
        <f ca="1">M99+M102</f>
        <v>72600</v>
      </c>
      <c r="N96" s="425">
        <f ca="1">N99+N102</f>
        <v>2440</v>
      </c>
      <c r="O96" s="425">
        <f ca="1">IF(L96&gt;0,N96*100/L96,0)</f>
        <v>3.3608815426997247</v>
      </c>
      <c r="P96" s="425">
        <f ca="1">IF(M96&gt;0,N96*100/M96,0)</f>
        <v>3.3608815426997247</v>
      </c>
    </row>
    <row r="97" spans="1:16" ht="18.75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72600</v>
      </c>
      <c r="M97" s="425">
        <f ca="1">M98+M99</f>
        <v>72600</v>
      </c>
      <c r="N97" s="425">
        <f ca="1">N98+N99</f>
        <v>2440</v>
      </c>
      <c r="O97" s="425">
        <f ca="1">IF(L97&gt;0,N97*100/L97,0)</f>
        <v>3.3608815426997247</v>
      </c>
      <c r="P97" s="425">
        <f ca="1">IF(M97&gt;0,N97*100/M97,0)</f>
        <v>3.3608815426997247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IFERROR(__xludf.DUMMYFUNCTION("IMPORTRANGE(""https://docs.google.com/spreadsheets/d/1-uDff_7J0KD5mKrp0Vvzr7lt3OU09vwQwhkpOPPYv2Y/edit?usp=sharing"",""งบพรบ!AW33"")"),72600)</f>
        <v>72600</v>
      </c>
      <c r="M99" s="425">
        <f ca="1">IFERROR(__xludf.DUMMYFUNCTION("IMPORTRANGE(""https://docs.google.com/spreadsheets/d/1-uDff_7J0KD5mKrp0Vvzr7lt3OU09vwQwhkpOPPYv2Y/edit?usp=sharing"",""งบพรบ!BB33"")"),72600)</f>
        <v>72600</v>
      </c>
      <c r="N99" s="425">
        <f ca="1">IFERROR(__xludf.DUMMYFUNCTION("IMPORTRANGE(""https://docs.google.com/spreadsheets/d/1-uDff_7J0KD5mKrp0Vvzr7lt3OU09vwQwhkpOPPYv2Y/edit?usp=sharing"",""งบพรบ!BD33"")"),2440)</f>
        <v>2440</v>
      </c>
      <c r="O99" s="425">
        <f ca="1">IF(L99&gt;0,N99*100/L99,0)</f>
        <v>3.3608815426997247</v>
      </c>
      <c r="P99" s="425">
        <f ca="1">IF(M99&gt;0,N99*100/M99,0)</f>
        <v>3.3608815426997247</v>
      </c>
    </row>
    <row r="100" spans="1:16" ht="18.75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IFERROR(__xludf.DUMMYFUNCTION("IMPORTRANGE(""https://docs.google.com/spreadsheets/d/1-uDff_7J0KD5mKrp0Vvzr7lt3OU09vwQwhkpOPPYv2Y/edit?usp=sharing"",""งบพรบ!AZ33"")"),0)</f>
        <v>0</v>
      </c>
      <c r="M102" s="425">
        <f ca="1">IFERROR(__xludf.DUMMYFUNCTION("IMPORTRANGE(""https://docs.google.com/spreadsheets/d/1-uDff_7J0KD5mKrp0Vvzr7lt3OU09vwQwhkpOPPYv2Y/edit?usp=sharing"",""งบพรบ!BC33"")"),0)</f>
        <v>0</v>
      </c>
      <c r="N102" s="425">
        <f ca="1">IFERROR(__xludf.DUMMYFUNCTION("IMPORTRANGE(""https://docs.google.com/spreadsheets/d/1-uDff_7J0KD5mKrp0Vvzr7lt3OU09vwQwhkpOPPYv2Y/edit?usp=sharing"",""งบพรบ!BE33"")"),0)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IFERROR(__xludf.DUMMYFUNCTION("IMPORTRANGE(""https://docs.google.com/spreadsheets/d/1eHaY18a8A9IcSdp1K8H6x8fbOy06t2VsZHhMHf-1x7Y/edit?usp=sharing"",""แผน!N33"")"),54)</f>
        <v>54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IFERROR(__xludf.DUMMYFUNCTION("IMPORTRANGE(""https://docs.google.com/spreadsheets/d/1eHaY18a8A9IcSdp1K8H6x8fbOy06t2VsZHhMHf-1x7Y/edit?usp=sharing"",""แผน!O33"")"),18)</f>
        <v>18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IFERROR(__xludf.DUMMYFUNCTION("IMPORTRANGE(""https://docs.google.com/spreadsheets/d/1eHaY18a8A9IcSdp1K8H6x8fbOy06t2VsZHhMHf-1x7Y/edit?usp=sharing"",""แผน!R33"")"),18)</f>
        <v>18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IFERROR(__xludf.DUMMYFUNCTION("IMPORTRANGE(""https://docs.google.com/spreadsheets/d/1-uDff_7J0KD5mKrp0Vvzr7lt3OU09vwQwhkpOPPYv2Y/edit?usp=sharing"",""งบพรบ!BG33"")"),0)</f>
        <v>0</v>
      </c>
      <c r="M130" s="723">
        <f ca="1">IFERROR(__xludf.DUMMYFUNCTION("IMPORTRANGE(""https://docs.google.com/spreadsheets/d/1-uDff_7J0KD5mKrp0Vvzr7lt3OU09vwQwhkpOPPYv2Y/edit?usp=sharing"",""งบพรบ!BL33"")"),0)</f>
        <v>0</v>
      </c>
      <c r="N130" s="723">
        <f ca="1">IFERROR(__xludf.DUMMYFUNCTION("IMPORTRANGE(""https://docs.google.com/spreadsheets/d/1-uDff_7J0KD5mKrp0Vvzr7lt3OU09vwQwhkpOPPYv2Y/edit?usp=sharing"",""งบพรบ!BN33"")"),0)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IFERROR(__xludf.DUMMYFUNCTION("IMPORTRANGE(""https://docs.google.com/spreadsheets/d/1-uDff_7J0KD5mKrp0Vvzr7lt3OU09vwQwhkpOPPYv2Y/edit?usp=sharing"",""งบพรบ!BJ33"")"),0)</f>
        <v>0</v>
      </c>
      <c r="M133" s="723">
        <f ca="1">IFERROR(__xludf.DUMMYFUNCTION("IMPORTRANGE(""https://docs.google.com/spreadsheets/d/1-uDff_7J0KD5mKrp0Vvzr7lt3OU09vwQwhkpOPPYv2Y/edit?usp=sharing"",""งบพรบ!BM33"")"),0)</f>
        <v>0</v>
      </c>
      <c r="N133" s="723">
        <f ca="1">IFERROR(__xludf.DUMMYFUNCTION("IMPORTRANGE(""https://docs.google.com/spreadsheets/d/1-uDff_7J0KD5mKrp0Vvzr7lt3OU09vwQwhkpOPPYv2Y/edit?usp=sharing"",""งบพรบ!BO33"")"),0)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0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10</v>
      </c>
      <c r="J137" s="705">
        <f>J152</f>
        <v>0</v>
      </c>
      <c r="K137" s="704">
        <f ca="1">IF(I137&gt;0,J137*100/I137,0)</f>
        <v>0</v>
      </c>
      <c r="L137" s="703"/>
      <c r="M137" s="703"/>
      <c r="N137" s="703"/>
      <c r="O137" s="703"/>
      <c r="P137" s="703"/>
    </row>
    <row r="138" spans="1:16" ht="19.5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1</v>
      </c>
      <c r="J138" s="705">
        <f>J153</f>
        <v>0</v>
      </c>
      <c r="K138" s="704">
        <f ca="1">IF(I138&gt;0,J138*100/I138,0)</f>
        <v>0</v>
      </c>
      <c r="L138" s="703"/>
      <c r="M138" s="703"/>
      <c r="N138" s="703"/>
      <c r="O138" s="703"/>
      <c r="P138" s="703"/>
    </row>
    <row r="139" spans="1:16" ht="19.5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23300</v>
      </c>
      <c r="M139" s="577">
        <f ca="1">M140+M141</f>
        <v>18300</v>
      </c>
      <c r="N139" s="577">
        <f ca="1">N140+N141</f>
        <v>0</v>
      </c>
      <c r="O139" s="577">
        <f ca="1">IF(L139&gt;0,N139*100/L139,0)</f>
        <v>0</v>
      </c>
      <c r="P139" s="577">
        <f ca="1">IF(M139&gt;0,N139*100/M139,0)</f>
        <v>0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23300</v>
      </c>
      <c r="M141" s="425">
        <f ca="1">M144+M147</f>
        <v>18300</v>
      </c>
      <c r="N141" s="425">
        <f ca="1">N144+N147</f>
        <v>0</v>
      </c>
      <c r="O141" s="425">
        <f ca="1">IF(L141&gt;0,N141*100/L141,0)</f>
        <v>0</v>
      </c>
      <c r="P141" s="425">
        <f ca="1">IF(M141&gt;0,N141*100/M141,0)</f>
        <v>0</v>
      </c>
    </row>
    <row r="142" spans="1:16" ht="18.75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23300</v>
      </c>
      <c r="M142" s="425">
        <f ca="1">M143+M144</f>
        <v>18300</v>
      </c>
      <c r="N142" s="425">
        <f ca="1">N143+N144</f>
        <v>0</v>
      </c>
      <c r="O142" s="425">
        <f ca="1">IF(L142&gt;0,N142*100/L142,0)</f>
        <v>0</v>
      </c>
      <c r="P142" s="425">
        <f ca="1">IF(M142&gt;0,N142*100/M142,0)</f>
        <v>0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IFERROR(__xludf.DUMMYFUNCTION("IMPORTRANGE(""https://docs.google.com/spreadsheets/d/1-uDff_7J0KD5mKrp0Vvzr7lt3OU09vwQwhkpOPPYv2Y/edit?usp=sharing"",""งบพรบ!BQ33"")"),23300)</f>
        <v>23300</v>
      </c>
      <c r="M144" s="425">
        <f ca="1">IFERROR(__xludf.DUMMYFUNCTION("IMPORTRANGE(""https://docs.google.com/spreadsheets/d/1-uDff_7J0KD5mKrp0Vvzr7lt3OU09vwQwhkpOPPYv2Y/edit?usp=sharing"",""งบพรบ!BV33"")"),18300)</f>
        <v>18300</v>
      </c>
      <c r="N144" s="425">
        <f ca="1">IFERROR(__xludf.DUMMYFUNCTION("IMPORTRANGE(""https://docs.google.com/spreadsheets/d/1-uDff_7J0KD5mKrp0Vvzr7lt3OU09vwQwhkpOPPYv2Y/edit?usp=sharing"",""งบพรบ!BX33"")"),0)</f>
        <v>0</v>
      </c>
      <c r="O144" s="425">
        <f ca="1">IF(L144&gt;0,N144*100/L144,0)</f>
        <v>0</v>
      </c>
      <c r="P144" s="425">
        <f ca="1">IF(M144&gt;0,N144*100/M144,0)</f>
        <v>0</v>
      </c>
    </row>
    <row r="145" spans="1:16" ht="18.75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IFERROR(__xludf.DUMMYFUNCTION("IMPORTRANGE(""https://docs.google.com/spreadsheets/d/1-uDff_7J0KD5mKrp0Vvzr7lt3OU09vwQwhkpOPPYv2Y/edit?usp=sharing"",""งบพรบ!BT33"")"),0)</f>
        <v>0</v>
      </c>
      <c r="M147" s="425">
        <f ca="1">IFERROR(__xludf.DUMMYFUNCTION("IMPORTRANGE(""https://docs.google.com/spreadsheets/d/1-uDff_7J0KD5mKrp0Vvzr7lt3OU09vwQwhkpOPPYv2Y/edit?usp=sharing"",""งบพรบ!BW33"")"),0)</f>
        <v>0</v>
      </c>
      <c r="N147" s="425">
        <f ca="1">IFERROR(__xludf.DUMMYFUNCTION("IMPORTRANGE(""https://docs.google.com/spreadsheets/d/1-uDff_7J0KD5mKrp0Vvzr7lt3OU09vwQwhkpOPPYv2Y/edit?usp=sharing"",""งบพรบ!BY33"")"),0)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x14ac:dyDescent="0.3">
      <c r="A150" s="535"/>
      <c r="B150" s="418"/>
      <c r="C150" s="418"/>
      <c r="D150" s="420"/>
      <c r="E150" s="570" t="s">
        <v>159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IFERROR(__xludf.DUMMYFUNCTION("IMPORTRANGE(""https://docs.google.com/spreadsheets/d/1eHaY18a8A9IcSdp1K8H6x8fbOy06t2VsZHhMHf-1x7Y/edit?usp=sharing"",""แผน!U33"")"),0)</f>
        <v>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IFERROR(__xludf.DUMMYFUNCTION("IMPORTRANGE(""https://docs.google.com/spreadsheets/d/1eHaY18a8A9IcSdp1K8H6x8fbOy06t2VsZHhMHf-1x7Y/edit?usp=sharing"",""แผน!V33"")"),0)</f>
        <v>0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x14ac:dyDescent="0.3">
      <c r="A152" s="535"/>
      <c r="B152" s="418"/>
      <c r="C152" s="418"/>
      <c r="D152" s="420"/>
      <c r="E152" s="570" t="s">
        <v>158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IFERROR(__xludf.DUMMYFUNCTION("IMPORTRANGE(""https://docs.google.com/spreadsheets/d/1eHaY18a8A9IcSdp1K8H6x8fbOy06t2VsZHhMHf-1x7Y/edit?usp=sharing"",""แผน!W33"")"),10)</f>
        <v>10</v>
      </c>
      <c r="J152" s="595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IFERROR(__xludf.DUMMYFUNCTION("IMPORTRANGE(""https://docs.google.com/spreadsheets/d/1eHaY18a8A9IcSdp1K8H6x8fbOy06t2VsZHhMHf-1x7Y/edit?usp=sharing"",""แผน!X33"")"),1)</f>
        <v>1</v>
      </c>
      <c r="J153" s="595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IFERROR(__xludf.DUMMYFUNCTION("IMPORTRANGE(""https://docs.google.com/spreadsheets/d/1eHaY18a8A9IcSdp1K8H6x8fbOy06t2VsZHhMHf-1x7Y/edit?usp=sharing"",""แผน!Y33"")"),0)</f>
        <v>0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hidden="1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hidden="1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I169</f>
        <v>0</v>
      </c>
      <c r="J156" s="705">
        <f>J169</f>
        <v>0</v>
      </c>
      <c r="K156" s="704">
        <f ca="1">IF(I156&gt;0,J156*100/I156,0)</f>
        <v>0</v>
      </c>
      <c r="L156" s="703"/>
      <c r="M156" s="703"/>
      <c r="N156" s="703"/>
      <c r="O156" s="703"/>
      <c r="P156" s="703"/>
    </row>
    <row r="157" spans="1:16" ht="19.5" hidden="1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hidden="1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hidden="1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hidden="1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IFERROR(__xludf.DUMMYFUNCTION("IMPORTRANGE(""https://docs.google.com/spreadsheets/d/1-uDff_7J0KD5mKrp0Vvzr7lt3OU09vwQwhkpOPPYv2Y/edit?usp=sharing"",""งบพรบ!CA33"")"),0)</f>
        <v>0</v>
      </c>
      <c r="M162" s="425">
        <f ca="1">IFERROR(__xludf.DUMMYFUNCTION("IMPORTRANGE(""https://docs.google.com/spreadsheets/d/1-uDff_7J0KD5mKrp0Vvzr7lt3OU09vwQwhkpOPPYv2Y/edit?usp=sharing"",""งบพรบ!CF33"")"),0)</f>
        <v>0</v>
      </c>
      <c r="N162" s="425">
        <f ca="1">IFERROR(__xludf.DUMMYFUNCTION("IMPORTRANGE(""https://docs.google.com/spreadsheets/d/1-uDff_7J0KD5mKrp0Vvzr7lt3OU09vwQwhkpOPPYv2Y/edit?usp=sharing"",""งบพรบ!CH33"")"),0)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hidden="1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hidden="1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IFERROR(__xludf.DUMMYFUNCTION("IMPORTRANGE(""https://docs.google.com/spreadsheets/d/1-uDff_7J0KD5mKrp0Vvzr7lt3OU09vwQwhkpOPPYv2Y/edit?usp=sharing"",""งบพรบ!CD33"")"),0)</f>
        <v>0</v>
      </c>
      <c r="M165" s="425">
        <f ca="1">IFERROR(__xludf.DUMMYFUNCTION("IMPORTRANGE(""https://docs.google.com/spreadsheets/d/1-uDff_7J0KD5mKrp0Vvzr7lt3OU09vwQwhkpOPPYv2Y/edit?usp=sharing"",""งบพรบ!CG33"")"),0)</f>
        <v>0</v>
      </c>
      <c r="N165" s="425">
        <f ca="1">IFERROR(__xludf.DUMMYFUNCTION("IMPORTRANGE(""https://docs.google.com/spreadsheets/d/1-uDff_7J0KD5mKrp0Vvzr7lt3OU09vwQwhkpOPPYv2Y/edit?usp=sharing"",""งบพรบ!CI33"")"),0)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hidden="1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hidden="1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IFERROR(__xludf.DUMMYFUNCTION("IMPORTRANGE(""https://docs.google.com/spreadsheets/d/1eHaY18a8A9IcSdp1K8H6x8fbOy06t2VsZHhMHf-1x7Y/edit?usp=sharing"",""แผน!Z33"")"),0)</f>
        <v>0</v>
      </c>
      <c r="J167" s="595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IFERROR(__xludf.DUMMYFUNCTION("IMPORTRANGE(""https://docs.google.com/spreadsheets/d/1eHaY18a8A9IcSdp1K8H6x8fbOy06t2VsZHhMHf-1x7Y/edit?usp=sharing"",""แผน!Z33"")"),0)</f>
        <v>0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IFERROR(__xludf.DUMMYFUNCTION("IMPORTRANGE(""https://docs.google.com/spreadsheets/d/1eHaY18a8A9IcSdp1K8H6x8fbOy06t2VsZHhMHf-1x7Y/edit?usp=sharing"",""แผน!Z33"")"),0)</f>
        <v>0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7</v>
      </c>
      <c r="J172" s="688">
        <f>J183+J184</f>
        <v>7</v>
      </c>
      <c r="K172" s="687">
        <f ca="1">IF(I172&gt;0,J172*100/I172,0)</f>
        <v>100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19590</v>
      </c>
      <c r="M173" s="577">
        <f ca="1">M174+M175</f>
        <v>19590</v>
      </c>
      <c r="N173" s="577">
        <f ca="1">N174+N175</f>
        <v>16300</v>
      </c>
      <c r="O173" s="577">
        <f ca="1">IF(L173&gt;0,N173*100/L173,0)</f>
        <v>83.205717202654412</v>
      </c>
      <c r="P173" s="577">
        <f ca="1">IF(M173&gt;0,N173*100/M173,0)</f>
        <v>83.205717202654412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19590</v>
      </c>
      <c r="N175" s="425">
        <f ca="1">N178+N181</f>
        <v>16300</v>
      </c>
      <c r="O175" s="425">
        <f ca="1">IF(L175&gt;0,N175*100/L175,0)</f>
        <v>83.205717202654412</v>
      </c>
      <c r="P175" s="425">
        <f ca="1">IF(M175&gt;0,N175*100/M175,0)</f>
        <v>83.205717202654412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19590</v>
      </c>
      <c r="M176" s="425">
        <f ca="1">M177+M178</f>
        <v>19590</v>
      </c>
      <c r="N176" s="425">
        <f ca="1">N177+N178</f>
        <v>16300</v>
      </c>
      <c r="O176" s="425">
        <f ca="1">IF(L176&gt;0,N176*100/L176,0)</f>
        <v>83.205717202654412</v>
      </c>
      <c r="P176" s="425">
        <f ca="1">IF(M176&gt;0,N176*100/M176,0)</f>
        <v>83.205717202654412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IFERROR(__xludf.DUMMYFUNCTION("IMPORTRANGE(""https://docs.google.com/spreadsheets/d/1-uDff_7J0KD5mKrp0Vvzr7lt3OU09vwQwhkpOPPYv2Y/edit?usp=sharing"",""งบพรบ!CK33"")"),19590)</f>
        <v>19590</v>
      </c>
      <c r="M178" s="425">
        <f ca="1">IFERROR(__xludf.DUMMYFUNCTION("IMPORTRANGE(""https://docs.google.com/spreadsheets/d/1-uDff_7J0KD5mKrp0Vvzr7lt3OU09vwQwhkpOPPYv2Y/edit?usp=sharing"",""งบพรบ!CP33"")"),19590)</f>
        <v>19590</v>
      </c>
      <c r="N178" s="425">
        <f ca="1">IFERROR(__xludf.DUMMYFUNCTION("IMPORTRANGE(""https://docs.google.com/spreadsheets/d/1-uDff_7J0KD5mKrp0Vvzr7lt3OU09vwQwhkpOPPYv2Y/edit?usp=sharing"",""งบพรบ!CR33"")"),16300)</f>
        <v>16300</v>
      </c>
      <c r="O178" s="425">
        <f ca="1">IF(L178&gt;0,N178*100/L178,0)</f>
        <v>83.205717202654412</v>
      </c>
      <c r="P178" s="425">
        <f ca="1">IF(M178&gt;0,N178*100/M178,0)</f>
        <v>83.205717202654412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IFERROR(__xludf.DUMMYFUNCTION("IMPORTRANGE(""https://docs.google.com/spreadsheets/d/1-uDff_7J0KD5mKrp0Vvzr7lt3OU09vwQwhkpOPPYv2Y/edit?usp=sharing"",""งบพรบ!CN33"")"),0)</f>
        <v>0</v>
      </c>
      <c r="M181" s="425">
        <f ca="1">IFERROR(__xludf.DUMMYFUNCTION("IMPORTRANGE(""https://docs.google.com/spreadsheets/d/1-uDff_7J0KD5mKrp0Vvzr7lt3OU09vwQwhkpOPPYv2Y/edit?usp=sharing"",""งบพรบ!CQ33"")"),0)</f>
        <v>0</v>
      </c>
      <c r="N181" s="425">
        <f ca="1">IFERROR(__xludf.DUMMYFUNCTION("IMPORTRANGE(""https://docs.google.com/spreadsheets/d/1-uDff_7J0KD5mKrp0Vvzr7lt3OU09vwQwhkpOPPYv2Y/edit?usp=sharing"",""งบพรบ!CS33"")"),0)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IFERROR(__xludf.DUMMYFUNCTION("IMPORTRANGE(""https://docs.google.com/spreadsheets/d/1eHaY18a8A9IcSdp1K8H6x8fbOy06t2VsZHhMHf-1x7Y/edit?usp=sharing"",""แผน!AA33"")"),7)</f>
        <v>7</v>
      </c>
      <c r="J183" s="595">
        <v>7</v>
      </c>
      <c r="K183" s="425">
        <f ca="1">IF(I183&gt;0,J183*100/I183,0)</f>
        <v>100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0</v>
      </c>
      <c r="J185" s="688">
        <f>J230+J231</f>
        <v>0</v>
      </c>
      <c r="K185" s="687">
        <f ca="1">IF(I185&gt;0,J185*100/I185,0)</f>
        <v>0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40500</v>
      </c>
      <c r="M186" s="577">
        <f ca="1">M187+M188</f>
        <v>22500</v>
      </c>
      <c r="N186" s="577">
        <f ca="1">N187+N188</f>
        <v>1680</v>
      </c>
      <c r="O186" s="577">
        <f ca="1">IF(L186&gt;0,N186*100/L186,0)</f>
        <v>4.1481481481481479</v>
      </c>
      <c r="P186" s="577">
        <f ca="1">IF(M186&gt;0,N186*100/M186,0)</f>
        <v>7.4666666666666668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40500</v>
      </c>
      <c r="M188" s="425">
        <f ca="1">M191+M194</f>
        <v>22500</v>
      </c>
      <c r="N188" s="425">
        <f ca="1">N191+N194</f>
        <v>1680</v>
      </c>
      <c r="O188" s="425">
        <f ca="1">IF(L188&gt;0,N188*100/L188,0)</f>
        <v>4.1481481481481479</v>
      </c>
      <c r="P188" s="425">
        <f ca="1">IF(M188&gt;0,N188*100/M188,0)</f>
        <v>7.4666666666666668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40500</v>
      </c>
      <c r="M189" s="425">
        <f ca="1">M190+M191</f>
        <v>22500</v>
      </c>
      <c r="N189" s="425">
        <f ca="1">N190+N191</f>
        <v>1680</v>
      </c>
      <c r="O189" s="425">
        <f ca="1">IF(L189&gt;0,N189*100/L189,0)</f>
        <v>4.1481481481481479</v>
      </c>
      <c r="P189" s="425">
        <f ca="1">IF(M189&gt;0,N189*100/M189,0)</f>
        <v>7.4666666666666668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IFERROR(__xludf.DUMMYFUNCTION("IMPORTRANGE(""https://docs.google.com/spreadsheets/d/1-uDff_7J0KD5mKrp0Vvzr7lt3OU09vwQwhkpOPPYv2Y/edit?usp=sharing"",""งบพรบ!CU33"")"),40500)</f>
        <v>40500</v>
      </c>
      <c r="M191" s="425">
        <f ca="1">IFERROR(__xludf.DUMMYFUNCTION("IMPORTRANGE(""https://docs.google.com/spreadsheets/d/1-uDff_7J0KD5mKrp0Vvzr7lt3OU09vwQwhkpOPPYv2Y/edit?usp=sharing"",""งบพรบ!CZ33"")"),22500)</f>
        <v>22500</v>
      </c>
      <c r="N191" s="425">
        <f ca="1">IFERROR(__xludf.DUMMYFUNCTION("IMPORTRANGE(""https://docs.google.com/spreadsheets/d/1-uDff_7J0KD5mKrp0Vvzr7lt3OU09vwQwhkpOPPYv2Y/edit?usp=sharing"",""งบพรบ!DB33"")"),1680)</f>
        <v>1680</v>
      </c>
      <c r="O191" s="425">
        <f ca="1">IF(L191&gt;0,N191*100/L191,0)</f>
        <v>4.1481481481481479</v>
      </c>
      <c r="P191" s="425">
        <f ca="1">IF(M191&gt;0,N191*100/M191,0)</f>
        <v>7.4666666666666668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IFERROR(__xludf.DUMMYFUNCTION("IMPORTRANGE(""https://docs.google.com/spreadsheets/d/1-uDff_7J0KD5mKrp0Vvzr7lt3OU09vwQwhkpOPPYv2Y/edit?usp=sharing"",""งบพรบ!CX33"")"),0)</f>
        <v>0</v>
      </c>
      <c r="M194" s="425">
        <f ca="1">IFERROR(__xludf.DUMMYFUNCTION("IMPORTRANGE(""https://docs.google.com/spreadsheets/d/1-uDff_7J0KD5mKrp0Vvzr7lt3OU09vwQwhkpOPPYv2Y/edit?usp=sharing"",""งบพรบ!DA33"")"),0)</f>
        <v>0</v>
      </c>
      <c r="N194" s="425">
        <f ca="1">IFERROR(__xludf.DUMMYFUNCTION("IMPORTRANGE(""https://docs.google.com/spreadsheets/d/1-uDff_7J0KD5mKrp0Vvzr7lt3OU09vwQwhkpOPPYv2Y/edit?usp=sharing"",""งบพรบ!DC33"")"),0)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2</v>
      </c>
      <c r="K195" s="439">
        <f ca="1">IF(I195&gt;0,J195*100/I195,0)</f>
        <v>50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IFERROR(__xludf.DUMMYFUNCTION("IMPORTRANGE(""https://docs.google.com/spreadsheets/d/1eHaY18a8A9IcSdp1K8H6x8fbOy06t2VsZHhMHf-1x7Y/edit?usp=sharing"",""แผน!AB33"")"),6000)</f>
        <v>6000</v>
      </c>
      <c r="M196" s="428"/>
      <c r="N196" s="686">
        <v>0</v>
      </c>
      <c r="O196" s="577">
        <f ca="1">IF(L196&gt;0,N196*100/L196,0)</f>
        <v>0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IFERROR(__xludf.DUMMYFUNCTION("IMPORTRANGE(""https://docs.google.com/spreadsheets/d/1eHaY18a8A9IcSdp1K8H6x8fbOy06t2VsZHhMHf-1x7Y/edit?usp=sharing"",""แผน!AE33"")"),4)</f>
        <v>4</v>
      </c>
      <c r="J198" s="595">
        <v>2</v>
      </c>
      <c r="K198" s="425">
        <f ca="1">IF(I198&gt;0,J198*100/I198,0)</f>
        <v>50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2</v>
      </c>
      <c r="J202" s="438">
        <f>J209</f>
        <v>0</v>
      </c>
      <c r="K202" s="439">
        <f ca="1">IF(I202&gt;0,J202*100/I202,0)</f>
        <v>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26000</v>
      </c>
      <c r="M203" s="428"/>
      <c r="N203" s="577">
        <f>N204+N205+N206+N207</f>
        <v>0</v>
      </c>
      <c r="O203" s="577">
        <f ca="1">IF(L203&gt;0,N203*100/L203,0)</f>
        <v>0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2" t="s">
        <v>157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IFERROR(__xludf.DUMMYFUNCTION("IMPORTRANGE(""https://docs.google.com/spreadsheets/d/1eHaY18a8A9IcSdp1K8H6x8fbOy06t2VsZHhMHf-1x7Y/edit?usp=sharing"",""แผน!AG33"")"),2000)</f>
        <v>2000</v>
      </c>
      <c r="M204" s="428"/>
      <c r="N204" s="683">
        <v>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IFERROR(__xludf.DUMMYFUNCTION("IMPORTRANGE(""https://docs.google.com/spreadsheets/d/1eHaY18a8A9IcSdp1K8H6x8fbOy06t2VsZHhMHf-1x7Y/edit?usp=sharing"",""แผน!AH33"")"),0)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IFERROR(__xludf.DUMMYFUNCTION("IMPORTRANGE(""https://docs.google.com/spreadsheets/d/1eHaY18a8A9IcSdp1K8H6x8fbOy06t2VsZHhMHf-1x7Y/edit?usp=sharing"",""แผน!AI33"")"),16000)</f>
        <v>16000</v>
      </c>
      <c r="M206" s="428"/>
      <c r="N206" s="683">
        <v>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IFERROR(__xludf.DUMMYFUNCTION("IMPORTRANGE(""https://docs.google.com/spreadsheets/d/1eHaY18a8A9IcSdp1K8H6x8fbOy06t2VsZHhMHf-1x7Y/edit?usp=sharing"",""แผน!AJ33"")"),8000)</f>
        <v>8000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IFERROR(__xludf.DUMMYFUNCTION("IMPORTRANGE(""https://docs.google.com/spreadsheets/d/1eHaY18a8A9IcSdp1K8H6x8fbOy06t2VsZHhMHf-1x7Y/edit?usp=sharing"",""แผน!AK33"")"),2)</f>
        <v>2</v>
      </c>
      <c r="J209" s="595">
        <v>0</v>
      </c>
      <c r="K209" s="621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IFERROR(__xludf.DUMMYFUNCTION("IMPORTRANGE(""https://docs.google.com/spreadsheets/d/1eHaY18a8A9IcSdp1K8H6x8fbOy06t2VsZHhMHf-1x7Y/edit?usp=sharing"",""แผน!JX33"")"),2)</f>
        <v>2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IFERROR(__xludf.DUMMYFUNCTION("IMPORTRANGE(""https://docs.google.com/spreadsheets/d/1eHaY18a8A9IcSdp1K8H6x8fbOy06t2VsZHhMHf-1x7Y/edit?usp=sharing"",""แผน!JY33"")"),0)</f>
        <v>0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hidden="1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0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hidden="1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hidden="1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IFERROR(__xludf.DUMMYFUNCTION("IMPORTRANGE(""https://docs.google.com/spreadsheets/d/1eHaY18a8A9IcSdp1K8H6x8fbOy06t2VsZHhMHf-1x7Y/edit?usp=sharing"",""แผน!AM33"")"),0)</f>
        <v>0</v>
      </c>
      <c r="M215" s="428"/>
      <c r="N215" s="683">
        <v>0</v>
      </c>
      <c r="O215" s="525"/>
      <c r="P215" s="428"/>
    </row>
    <row r="216" spans="1:16" ht="18.75" hidden="1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IFERROR(__xludf.DUMMYFUNCTION("IMPORTRANGE(""https://docs.google.com/spreadsheets/d/1eHaY18a8A9IcSdp1K8H6x8fbOy06t2VsZHhMHf-1x7Y/edit?usp=sharing"",""แผน!AN33"")"),0)</f>
        <v>0</v>
      </c>
      <c r="M216" s="428"/>
      <c r="N216" s="683">
        <v>0</v>
      </c>
      <c r="O216" s="525"/>
      <c r="P216" s="428"/>
    </row>
    <row r="217" spans="1:16" ht="18.75" hidden="1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IFERROR(__xludf.DUMMYFUNCTION("IMPORTRANGE(""https://docs.google.com/spreadsheets/d/1eHaY18a8A9IcSdp1K8H6x8fbOy06t2VsZHhMHf-1x7Y/edit?usp=sharing"",""แผน!AO33"")"),0)</f>
        <v>0</v>
      </c>
      <c r="M217" s="428"/>
      <c r="N217" s="683">
        <v>0</v>
      </c>
      <c r="O217" s="525"/>
      <c r="P217" s="428"/>
    </row>
    <row r="218" spans="1:16" ht="19.5" hidden="1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hidden="1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IFERROR(__xludf.DUMMYFUNCTION("IMPORTRANGE(""https://docs.google.com/spreadsheets/d/1eHaY18a8A9IcSdp1K8H6x8fbOy06t2VsZHhMHf-1x7Y/edit?usp=sharing"",""แผน!AP33"")"),0)</f>
        <v>0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hidden="1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IFERROR(__xludf.DUMMYFUNCTION("IMPORTRANGE(""https://docs.google.com/spreadsheets/d/1eHaY18a8A9IcSdp1K8H6x8fbOy06t2VsZHhMHf-1x7Y/edit?usp=sharing"",""แผน!AP33"")"),0)</f>
        <v>0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50000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8500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2" t="s">
        <v>156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IFERROR(__xludf.DUMMYFUNCTION("IMPORTRANGE(""https://docs.google.com/spreadsheets/d/1eHaY18a8A9IcSdp1K8H6x8fbOy06t2VsZHhMHf-1x7Y/edit?usp=sharing"",""แผน!AR33"")"),7000)</f>
        <v>7000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IFERROR(__xludf.DUMMYFUNCTION("IMPORTRANGE(""https://docs.google.com/spreadsheets/d/1eHaY18a8A9IcSdp1K8H6x8fbOy06t2VsZHhMHf-1x7Y/edit?usp=sharing"",""แผน!AS33"")"),1500)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IFERROR(__xludf.DUMMYFUNCTION("IMPORTRANGE(""https://docs.google.com/spreadsheets/d/1eHaY18a8A9IcSdp1K8H6x8fbOy06t2VsZHhMHf-1x7Y/edit?usp=sharing"",""แผน!AT33"")"),0)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IFERROR(__xludf.DUMMYFUNCTION("IMPORTRANGE(""https://docs.google.com/spreadsheets/d/1eHaY18a8A9IcSdp1K8H6x8fbOy06t2VsZHhMHf-1x7Y/edit?usp=sharing"",""แผน!AV33"")"),50000)</f>
        <v>50000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IFERROR(__xludf.DUMMYFUNCTION("IMPORTRANGE(""https://docs.google.com/spreadsheets/d/1eHaY18a8A9IcSdp1K8H6x8fbOy06t2VsZHhMHf-1x7Y/edit?usp=sharing"",""แผน!AV33"")"),50000)</f>
        <v>50000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IFERROR(__xludf.DUMMYFUNCTION("IMPORTRANGE(""https://docs.google.com/spreadsheets/d/1eHaY18a8A9IcSdp1K8H6x8fbOy06t2VsZHhMHf-1x7Y/edit?usp=sharing"",""แผน!AU33"")"),0)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432"/>
      <c r="B231" s="434"/>
      <c r="C231" s="682" t="s">
        <v>99</v>
      </c>
      <c r="D231" s="433"/>
      <c r="E231" s="433"/>
      <c r="F231" s="433"/>
      <c r="G231" s="436"/>
      <c r="H231" s="437" t="s">
        <v>33</v>
      </c>
      <c r="I231" s="438">
        <f ca="1">I242+I253</f>
        <v>0</v>
      </c>
      <c r="J231" s="438">
        <f>J242+J253</f>
        <v>0</v>
      </c>
      <c r="K231" s="439">
        <f ca="1">IF(I231&gt;0,J231*100/I231,0)</f>
        <v>0</v>
      </c>
      <c r="L231" s="571"/>
      <c r="M231" s="571"/>
      <c r="N231" s="571"/>
      <c r="O231" s="571"/>
      <c r="P231" s="571"/>
    </row>
    <row r="232" spans="1:16" ht="19.5" hidden="1" x14ac:dyDescent="0.3">
      <c r="A232" s="535"/>
      <c r="B232" s="418"/>
      <c r="C232" s="570" t="s">
        <v>16</v>
      </c>
      <c r="D232" s="579" t="s">
        <v>17</v>
      </c>
      <c r="E232" s="418"/>
      <c r="F232" s="418"/>
      <c r="G232" s="422"/>
      <c r="H232" s="681" t="s">
        <v>12</v>
      </c>
      <c r="I232" s="526"/>
      <c r="J232" s="526"/>
      <c r="K232" s="525"/>
      <c r="L232" s="577">
        <f ca="1">L243+L254</f>
        <v>0</v>
      </c>
      <c r="M232" s="428"/>
      <c r="N232" s="577">
        <f>N243+N254</f>
        <v>0</v>
      </c>
      <c r="O232" s="428"/>
      <c r="P232" s="428"/>
    </row>
    <row r="233" spans="1:16" ht="18.75" hidden="1" x14ac:dyDescent="0.25">
      <c r="A233" s="535"/>
      <c r="B233" s="419"/>
      <c r="C233" s="418"/>
      <c r="D233" s="293" t="s">
        <v>80</v>
      </c>
      <c r="E233" s="418"/>
      <c r="F233" s="418"/>
      <c r="G233" s="422"/>
      <c r="H233" s="576" t="s">
        <v>12</v>
      </c>
      <c r="I233" s="526"/>
      <c r="J233" s="526"/>
      <c r="K233" s="525"/>
      <c r="L233" s="425">
        <f ca="1">L244+L255</f>
        <v>0</v>
      </c>
      <c r="M233" s="428"/>
      <c r="N233" s="425">
        <f>N244+N255</f>
        <v>0</v>
      </c>
      <c r="O233" s="428"/>
      <c r="P233" s="428"/>
    </row>
    <row r="234" spans="1:16" ht="18.75" hidden="1" x14ac:dyDescent="0.25">
      <c r="A234" s="417"/>
      <c r="B234" s="419"/>
      <c r="C234" s="419"/>
      <c r="D234" s="293" t="s">
        <v>82</v>
      </c>
      <c r="E234" s="418"/>
      <c r="F234" s="418"/>
      <c r="G234" s="422"/>
      <c r="H234" s="576" t="s">
        <v>12</v>
      </c>
      <c r="I234" s="427"/>
      <c r="J234" s="427"/>
      <c r="K234" s="428"/>
      <c r="L234" s="425">
        <f ca="1">L245+L256</f>
        <v>0</v>
      </c>
      <c r="M234" s="428"/>
      <c r="N234" s="425">
        <f>N245+N256</f>
        <v>0</v>
      </c>
      <c r="O234" s="428"/>
      <c r="P234" s="428"/>
    </row>
    <row r="235" spans="1:16" ht="18.75" hidden="1" x14ac:dyDescent="0.25">
      <c r="A235" s="417"/>
      <c r="B235" s="419"/>
      <c r="C235" s="419"/>
      <c r="D235" s="293" t="s">
        <v>100</v>
      </c>
      <c r="E235" s="418"/>
      <c r="F235" s="418"/>
      <c r="G235" s="422"/>
      <c r="H235" s="576" t="s">
        <v>12</v>
      </c>
      <c r="I235" s="427"/>
      <c r="J235" s="427"/>
      <c r="K235" s="428"/>
      <c r="L235" s="425">
        <f ca="1">L246+L257</f>
        <v>0</v>
      </c>
      <c r="M235" s="428"/>
      <c r="N235" s="425">
        <f>N246+N257</f>
        <v>0</v>
      </c>
      <c r="O235" s="428"/>
      <c r="P235" s="428"/>
    </row>
    <row r="236" spans="1:16" ht="18.75" hidden="1" x14ac:dyDescent="0.25">
      <c r="A236" s="417"/>
      <c r="B236" s="419"/>
      <c r="C236" s="419"/>
      <c r="D236" s="293" t="s">
        <v>101</v>
      </c>
      <c r="E236" s="418"/>
      <c r="F236" s="418"/>
      <c r="G236" s="422"/>
      <c r="H236" s="576" t="s">
        <v>12</v>
      </c>
      <c r="I236" s="427"/>
      <c r="J236" s="427"/>
      <c r="K236" s="428"/>
      <c r="L236" s="425">
        <f ca="1">L247+L258</f>
        <v>0</v>
      </c>
      <c r="M236" s="428"/>
      <c r="N236" s="425">
        <f>N247+N258</f>
        <v>0</v>
      </c>
      <c r="O236" s="428"/>
      <c r="P236" s="428"/>
    </row>
    <row r="237" spans="1:16" ht="19.5" hidden="1" x14ac:dyDescent="0.3">
      <c r="A237" s="532"/>
      <c r="B237" s="430"/>
      <c r="C237" s="680" t="s">
        <v>16</v>
      </c>
      <c r="D237" s="569" t="s">
        <v>36</v>
      </c>
      <c r="E237" s="529"/>
      <c r="F237" s="529"/>
      <c r="G237" s="528"/>
      <c r="H237" s="527"/>
      <c r="I237" s="526"/>
      <c r="J237" s="427"/>
      <c r="K237" s="428"/>
      <c r="L237" s="428"/>
      <c r="M237" s="428"/>
      <c r="N237" s="428"/>
      <c r="O237" s="525"/>
      <c r="P237" s="525"/>
    </row>
    <row r="238" spans="1:16" ht="18.75" hidden="1" x14ac:dyDescent="0.25">
      <c r="A238" s="532"/>
      <c r="B238" s="430"/>
      <c r="C238" s="430"/>
      <c r="D238" s="421" t="s">
        <v>102</v>
      </c>
      <c r="E238" s="420"/>
      <c r="F238" s="420"/>
      <c r="G238" s="527"/>
      <c r="H238" s="566" t="s">
        <v>33</v>
      </c>
      <c r="I238" s="424">
        <f ca="1">I249+I260</f>
        <v>0</v>
      </c>
      <c r="J238" s="424">
        <f>J249+J260</f>
        <v>0</v>
      </c>
      <c r="K238" s="425">
        <f ca="1">IF(I238&gt;0,J238*100/I238,0)</f>
        <v>0</v>
      </c>
      <c r="L238" s="428"/>
      <c r="M238" s="428"/>
      <c r="N238" s="428"/>
      <c r="O238" s="428"/>
      <c r="P238" s="428"/>
    </row>
    <row r="239" spans="1:16" ht="18.75" hidden="1" x14ac:dyDescent="0.25">
      <c r="A239" s="532"/>
      <c r="B239" s="430"/>
      <c r="C239" s="430"/>
      <c r="D239" s="679" t="s">
        <v>41</v>
      </c>
      <c r="E239" s="420"/>
      <c r="F239" s="420"/>
      <c r="G239" s="527"/>
      <c r="H239" s="527"/>
      <c r="I239" s="427"/>
      <c r="J239" s="427"/>
      <c r="K239" s="428"/>
      <c r="L239" s="428"/>
      <c r="M239" s="428"/>
      <c r="N239" s="428"/>
      <c r="O239" s="525"/>
      <c r="P239" s="525"/>
    </row>
    <row r="240" spans="1:16" ht="18.75" hidden="1" x14ac:dyDescent="0.25">
      <c r="A240" s="532"/>
      <c r="B240" s="430"/>
      <c r="C240" s="430"/>
      <c r="D240" s="430"/>
      <c r="E240" s="567" t="s">
        <v>103</v>
      </c>
      <c r="F240" s="420"/>
      <c r="G240" s="527"/>
      <c r="H240" s="566" t="s">
        <v>33</v>
      </c>
      <c r="I240" s="424">
        <f>I251+I262</f>
        <v>0</v>
      </c>
      <c r="J240" s="424">
        <f>J251+J262</f>
        <v>0</v>
      </c>
      <c r="K240" s="425">
        <f>IF(I240&gt;0,J240*100/I240,0)</f>
        <v>0</v>
      </c>
      <c r="L240" s="428"/>
      <c r="M240" s="428"/>
      <c r="N240" s="428"/>
      <c r="O240" s="428"/>
      <c r="P240" s="428"/>
    </row>
    <row r="241" spans="1:16" ht="18.75" hidden="1" x14ac:dyDescent="0.25">
      <c r="A241" s="532"/>
      <c r="B241" s="430"/>
      <c r="C241" s="430"/>
      <c r="D241" s="430"/>
      <c r="E241" s="567" t="s">
        <v>104</v>
      </c>
      <c r="F241" s="420"/>
      <c r="G241" s="527"/>
      <c r="H241" s="566" t="s">
        <v>54</v>
      </c>
      <c r="I241" s="424">
        <f>I252+I263</f>
        <v>0</v>
      </c>
      <c r="J241" s="424">
        <f>J252+J263</f>
        <v>0</v>
      </c>
      <c r="K241" s="425">
        <f>IF(I241&gt;0,J241*100/I241,0)</f>
        <v>0</v>
      </c>
      <c r="L241" s="428"/>
      <c r="M241" s="428"/>
      <c r="N241" s="428"/>
      <c r="O241" s="428"/>
      <c r="P241" s="428"/>
    </row>
    <row r="242" spans="1:16" ht="19.5" hidden="1" x14ac:dyDescent="0.3">
      <c r="A242" s="432"/>
      <c r="B242" s="434"/>
      <c r="C242" s="678" t="s">
        <v>105</v>
      </c>
      <c r="D242" s="433"/>
      <c r="E242" s="433"/>
      <c r="F242" s="433"/>
      <c r="G242" s="436"/>
      <c r="H242" s="677" t="s">
        <v>33</v>
      </c>
      <c r="I242" s="676">
        <f ca="1">I249</f>
        <v>0</v>
      </c>
      <c r="J242" s="676">
        <f>J249</f>
        <v>0</v>
      </c>
      <c r="K242" s="675">
        <f ca="1">IF(I242&gt;0,J242*100/I242,0)</f>
        <v>0</v>
      </c>
      <c r="L242" s="571"/>
      <c r="M242" s="571"/>
      <c r="N242" s="571"/>
      <c r="O242" s="571"/>
      <c r="P242" s="571"/>
    </row>
    <row r="243" spans="1:16" ht="19.5" hidden="1" x14ac:dyDescent="0.3">
      <c r="A243" s="535"/>
      <c r="B243" s="418"/>
      <c r="C243" s="531" t="s">
        <v>16</v>
      </c>
      <c r="D243" s="541" t="s">
        <v>17</v>
      </c>
      <c r="E243" s="418"/>
      <c r="F243" s="418"/>
      <c r="G243" s="422"/>
      <c r="H243" s="673" t="s">
        <v>12</v>
      </c>
      <c r="I243" s="526"/>
      <c r="J243" s="526"/>
      <c r="K243" s="525"/>
      <c r="L243" s="539">
        <f ca="1">L244+L245+L246+L247</f>
        <v>0</v>
      </c>
      <c r="M243" s="428"/>
      <c r="N243" s="539">
        <f>N244+N245+N246+N247</f>
        <v>0</v>
      </c>
      <c r="O243" s="539">
        <f ca="1">IF(L243&gt;0,N243*100/L243,0)</f>
        <v>0</v>
      </c>
      <c r="P243" s="539">
        <f>IF(M243&gt;0,N243*100/M243,0)</f>
        <v>0</v>
      </c>
    </row>
    <row r="244" spans="1:16" ht="18.75" hidden="1" x14ac:dyDescent="0.25">
      <c r="A244" s="535"/>
      <c r="B244" s="419"/>
      <c r="C244" s="418"/>
      <c r="D244" s="534" t="s">
        <v>80</v>
      </c>
      <c r="E244" s="418"/>
      <c r="F244" s="418"/>
      <c r="G244" s="422"/>
      <c r="H244" s="536" t="s">
        <v>12</v>
      </c>
      <c r="I244" s="526"/>
      <c r="J244" s="526"/>
      <c r="K244" s="525"/>
      <c r="L244" s="521">
        <f ca="1">IFERROR(__xludf.DUMMYFUNCTION("IMPORTRANGE(""https://docs.google.com/spreadsheets/d/1eHaY18a8A9IcSdp1K8H6x8fbOy06t2VsZHhMHf-1x7Y/edit?usp=sharing"",""แผน!AX33"")"),0)</f>
        <v>0</v>
      </c>
      <c r="M244" s="428"/>
      <c r="N244" s="672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34" t="s">
        <v>82</v>
      </c>
      <c r="E245" s="418"/>
      <c r="F245" s="418"/>
      <c r="G245" s="422"/>
      <c r="H245" s="536" t="s">
        <v>12</v>
      </c>
      <c r="I245" s="427"/>
      <c r="J245" s="427"/>
      <c r="K245" s="428"/>
      <c r="L245" s="521">
        <f ca="1">IFERROR(__xludf.DUMMYFUNCTION("IMPORTRANGE(""https://docs.google.com/spreadsheets/d/1eHaY18a8A9IcSdp1K8H6x8fbOy06t2VsZHhMHf-1x7Y/edit?usp=sharing"",""แผน!AY33"")"),0)</f>
        <v>0</v>
      </c>
      <c r="M245" s="428"/>
      <c r="N245" s="672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34" t="s">
        <v>100</v>
      </c>
      <c r="E246" s="418"/>
      <c r="F246" s="418"/>
      <c r="G246" s="422"/>
      <c r="H246" s="536" t="s">
        <v>12</v>
      </c>
      <c r="I246" s="427"/>
      <c r="J246" s="427"/>
      <c r="K246" s="428"/>
      <c r="L246" s="521">
        <f ca="1">IFERROR(__xludf.DUMMYFUNCTION("IMPORTRANGE(""https://docs.google.com/spreadsheets/d/1eHaY18a8A9IcSdp1K8H6x8fbOy06t2VsZHhMHf-1x7Y/edit?usp=sharing"",""แผน!AZ33"")"),0)</f>
        <v>0</v>
      </c>
      <c r="M246" s="428"/>
      <c r="N246" s="672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34" t="s">
        <v>101</v>
      </c>
      <c r="E247" s="418"/>
      <c r="F247" s="418"/>
      <c r="G247" s="422"/>
      <c r="H247" s="536" t="s">
        <v>12</v>
      </c>
      <c r="I247" s="427"/>
      <c r="J247" s="427"/>
      <c r="K247" s="428"/>
      <c r="L247" s="521">
        <f ca="1">IFERROR(__xludf.DUMMYFUNCTION("IMPORTRANGE(""https://docs.google.com/spreadsheets/d/1eHaY18a8A9IcSdp1K8H6x8fbOy06t2VsZHhMHf-1x7Y/edit?usp=sharing"",""แผน!BA33"")"),0)</f>
        <v>0</v>
      </c>
      <c r="M247" s="428"/>
      <c r="N247" s="672">
        <v>0</v>
      </c>
      <c r="O247" s="428"/>
      <c r="P247" s="428"/>
    </row>
    <row r="248" spans="1:16" ht="19.5" hidden="1" x14ac:dyDescent="0.3">
      <c r="A248" s="532"/>
      <c r="B248" s="430"/>
      <c r="C248" s="671" t="s">
        <v>16</v>
      </c>
      <c r="D248" s="530" t="s">
        <v>36</v>
      </c>
      <c r="E248" s="529"/>
      <c r="F248" s="529"/>
      <c r="G248" s="528"/>
      <c r="H248" s="527"/>
      <c r="I248" s="526"/>
      <c r="J248" s="427"/>
      <c r="K248" s="428"/>
      <c r="L248" s="428"/>
      <c r="M248" s="428"/>
      <c r="N248" s="428"/>
      <c r="O248" s="525"/>
      <c r="P248" s="525"/>
    </row>
    <row r="249" spans="1:16" ht="18.75" hidden="1" x14ac:dyDescent="0.25">
      <c r="A249" s="532"/>
      <c r="B249" s="430"/>
      <c r="C249" s="430"/>
      <c r="D249" s="524" t="s">
        <v>102</v>
      </c>
      <c r="E249" s="420"/>
      <c r="F249" s="420"/>
      <c r="G249" s="527"/>
      <c r="H249" s="668" t="s">
        <v>33</v>
      </c>
      <c r="I249" s="199">
        <f ca="1">IFERROR(__xludf.DUMMYFUNCTION("IMPORTRANGE(""https://docs.google.com/spreadsheets/d/1eHaY18a8A9IcSdp1K8H6x8fbOy06t2VsZHhMHf-1x7Y/edit?usp=sharing"",""แผน!BG33"")"),0)</f>
        <v>0</v>
      </c>
      <c r="J249" s="522">
        <v>0</v>
      </c>
      <c r="K249" s="521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2"/>
      <c r="B250" s="430"/>
      <c r="C250" s="430"/>
      <c r="D250" s="670" t="s">
        <v>41</v>
      </c>
      <c r="E250" s="420"/>
      <c r="F250" s="420"/>
      <c r="G250" s="527"/>
      <c r="H250" s="527"/>
      <c r="I250" s="427"/>
      <c r="J250" s="427"/>
      <c r="K250" s="428"/>
      <c r="L250" s="428"/>
      <c r="M250" s="428"/>
      <c r="N250" s="428"/>
      <c r="O250" s="525"/>
      <c r="P250" s="525"/>
    </row>
    <row r="251" spans="1:16" ht="18.75" hidden="1" x14ac:dyDescent="0.25">
      <c r="A251" s="532"/>
      <c r="B251" s="430"/>
      <c r="C251" s="430"/>
      <c r="D251" s="430"/>
      <c r="E251" s="669" t="s">
        <v>103</v>
      </c>
      <c r="F251" s="420"/>
      <c r="G251" s="527"/>
      <c r="H251" s="668" t="s">
        <v>33</v>
      </c>
      <c r="I251" s="199">
        <v>0</v>
      </c>
      <c r="J251" s="522">
        <v>0</v>
      </c>
      <c r="K251" s="521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2"/>
      <c r="B252" s="430"/>
      <c r="C252" s="430"/>
      <c r="D252" s="430"/>
      <c r="E252" s="669" t="s">
        <v>104</v>
      </c>
      <c r="F252" s="420"/>
      <c r="G252" s="527"/>
      <c r="H252" s="668" t="s">
        <v>54</v>
      </c>
      <c r="I252" s="199">
        <v>0</v>
      </c>
      <c r="J252" s="522">
        <v>0</v>
      </c>
      <c r="K252" s="521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78" t="s">
        <v>106</v>
      </c>
      <c r="D253" s="433"/>
      <c r="E253" s="433"/>
      <c r="F253" s="433"/>
      <c r="G253" s="436"/>
      <c r="H253" s="677" t="s">
        <v>33</v>
      </c>
      <c r="I253" s="676">
        <f ca="1">I260</f>
        <v>0</v>
      </c>
      <c r="J253" s="676">
        <f>J260</f>
        <v>0</v>
      </c>
      <c r="K253" s="675">
        <f ca="1">IF(I253&gt;0,J253*100/I253,0)</f>
        <v>0</v>
      </c>
      <c r="L253" s="571"/>
      <c r="M253" s="571"/>
      <c r="N253" s="571"/>
      <c r="O253" s="571"/>
      <c r="P253" s="571"/>
    </row>
    <row r="254" spans="1:16" ht="19.5" hidden="1" x14ac:dyDescent="0.3">
      <c r="A254" s="535"/>
      <c r="B254" s="418"/>
      <c r="C254" s="531" t="s">
        <v>16</v>
      </c>
      <c r="D254" s="674" t="s">
        <v>17</v>
      </c>
      <c r="E254" s="418"/>
      <c r="F254" s="418"/>
      <c r="G254" s="422"/>
      <c r="H254" s="673" t="s">
        <v>12</v>
      </c>
      <c r="I254" s="526"/>
      <c r="J254" s="526"/>
      <c r="K254" s="525"/>
      <c r="L254" s="539">
        <f ca="1">L255+L256+L257+L258</f>
        <v>0</v>
      </c>
      <c r="M254" s="428"/>
      <c r="N254" s="539">
        <f>N255+N256+N257+N258</f>
        <v>0</v>
      </c>
      <c r="O254" s="539">
        <f ca="1">IF(L254&gt;0,N254*100/L254,0)</f>
        <v>0</v>
      </c>
      <c r="P254" s="539">
        <f>IF(M254&gt;0,N254*100/M254,0)</f>
        <v>0</v>
      </c>
    </row>
    <row r="255" spans="1:16" ht="18.75" hidden="1" x14ac:dyDescent="0.25">
      <c r="A255" s="535"/>
      <c r="B255" s="419"/>
      <c r="C255" s="418"/>
      <c r="D255" s="534" t="s">
        <v>80</v>
      </c>
      <c r="E255" s="418"/>
      <c r="F255" s="418"/>
      <c r="G255" s="422"/>
      <c r="H255" s="536" t="s">
        <v>12</v>
      </c>
      <c r="I255" s="526"/>
      <c r="J255" s="526"/>
      <c r="K255" s="525"/>
      <c r="L255" s="521">
        <f ca="1">IFERROR(__xludf.DUMMYFUNCTION("IMPORTRANGE(""https://docs.google.com/spreadsheets/d/1eHaY18a8A9IcSdp1K8H6x8fbOy06t2VsZHhMHf-1x7Y/edit?usp=sharing"",""แผน!BB33"")"),0)</f>
        <v>0</v>
      </c>
      <c r="M255" s="428"/>
      <c r="N255" s="672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34" t="s">
        <v>82</v>
      </c>
      <c r="E256" s="418"/>
      <c r="F256" s="418"/>
      <c r="G256" s="422"/>
      <c r="H256" s="536" t="s">
        <v>12</v>
      </c>
      <c r="I256" s="427"/>
      <c r="J256" s="427"/>
      <c r="K256" s="428"/>
      <c r="L256" s="521">
        <f ca="1">IFERROR(__xludf.DUMMYFUNCTION("IMPORTRANGE(""https://docs.google.com/spreadsheets/d/1eHaY18a8A9IcSdp1K8H6x8fbOy06t2VsZHhMHf-1x7Y/edit?usp=sharing"",""แผน!BC33"")"),0)</f>
        <v>0</v>
      </c>
      <c r="M256" s="428"/>
      <c r="N256" s="672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34" t="s">
        <v>100</v>
      </c>
      <c r="E257" s="418"/>
      <c r="F257" s="418"/>
      <c r="G257" s="422"/>
      <c r="H257" s="536" t="s">
        <v>12</v>
      </c>
      <c r="I257" s="427"/>
      <c r="J257" s="427"/>
      <c r="K257" s="428"/>
      <c r="L257" s="521">
        <f ca="1">IFERROR(__xludf.DUMMYFUNCTION("IMPORTRANGE(""https://docs.google.com/spreadsheets/d/1eHaY18a8A9IcSdp1K8H6x8fbOy06t2VsZHhMHf-1x7Y/edit?usp=sharing"",""แผน!BD33"")"),0)</f>
        <v>0</v>
      </c>
      <c r="M257" s="428"/>
      <c r="N257" s="672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34" t="s">
        <v>101</v>
      </c>
      <c r="E258" s="418"/>
      <c r="F258" s="418"/>
      <c r="G258" s="422"/>
      <c r="H258" s="536" t="s">
        <v>12</v>
      </c>
      <c r="I258" s="427"/>
      <c r="J258" s="427"/>
      <c r="K258" s="428"/>
      <c r="L258" s="521">
        <f ca="1">IFERROR(__xludf.DUMMYFUNCTION("IMPORTRANGE(""https://docs.google.com/spreadsheets/d/1eHaY18a8A9IcSdp1K8H6x8fbOy06t2VsZHhMHf-1x7Y/edit?usp=sharing"",""แผน!BE33"")"),0)</f>
        <v>0</v>
      </c>
      <c r="M258" s="428"/>
      <c r="N258" s="672">
        <v>0</v>
      </c>
      <c r="O258" s="428"/>
      <c r="P258" s="428"/>
    </row>
    <row r="259" spans="1:16" ht="19.5" hidden="1" x14ac:dyDescent="0.3">
      <c r="A259" s="532"/>
      <c r="B259" s="430"/>
      <c r="C259" s="671" t="s">
        <v>16</v>
      </c>
      <c r="D259" s="530" t="s">
        <v>36</v>
      </c>
      <c r="E259" s="529"/>
      <c r="F259" s="529"/>
      <c r="G259" s="528"/>
      <c r="H259" s="527"/>
      <c r="I259" s="526"/>
      <c r="J259" s="427"/>
      <c r="K259" s="428"/>
      <c r="L259" s="428"/>
      <c r="M259" s="428"/>
      <c r="N259" s="428"/>
      <c r="O259" s="525"/>
      <c r="P259" s="525"/>
    </row>
    <row r="260" spans="1:16" ht="18.75" hidden="1" x14ac:dyDescent="0.25">
      <c r="A260" s="532"/>
      <c r="B260" s="430"/>
      <c r="C260" s="430"/>
      <c r="D260" s="524" t="s">
        <v>102</v>
      </c>
      <c r="E260" s="420"/>
      <c r="F260" s="420"/>
      <c r="G260" s="527"/>
      <c r="H260" s="668" t="s">
        <v>33</v>
      </c>
      <c r="I260" s="199">
        <f ca="1">IFERROR(__xludf.DUMMYFUNCTION("IMPORTRANGE(""https://docs.google.com/spreadsheets/d/1eHaY18a8A9IcSdp1K8H6x8fbOy06t2VsZHhMHf-1x7Y/edit?usp=sharing"",""แผน!BH33"")"),0)</f>
        <v>0</v>
      </c>
      <c r="J260" s="522">
        <v>0</v>
      </c>
      <c r="K260" s="521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2"/>
      <c r="B261" s="430"/>
      <c r="C261" s="430"/>
      <c r="D261" s="670" t="s">
        <v>41</v>
      </c>
      <c r="E261" s="420"/>
      <c r="F261" s="420"/>
      <c r="G261" s="527"/>
      <c r="H261" s="527"/>
      <c r="I261" s="427"/>
      <c r="J261" s="427"/>
      <c r="K261" s="428"/>
      <c r="L261" s="428"/>
      <c r="M261" s="428"/>
      <c r="N261" s="428"/>
      <c r="O261" s="525"/>
      <c r="P261" s="525"/>
    </row>
    <row r="262" spans="1:16" ht="18.75" hidden="1" x14ac:dyDescent="0.25">
      <c r="A262" s="532"/>
      <c r="B262" s="430"/>
      <c r="C262" s="430"/>
      <c r="D262" s="430"/>
      <c r="E262" s="669" t="s">
        <v>103</v>
      </c>
      <c r="F262" s="420"/>
      <c r="G262" s="527"/>
      <c r="H262" s="668" t="s">
        <v>33</v>
      </c>
      <c r="I262" s="427"/>
      <c r="J262" s="522">
        <v>0</v>
      </c>
      <c r="K262" s="521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2"/>
      <c r="B263" s="430"/>
      <c r="C263" s="430"/>
      <c r="D263" s="430"/>
      <c r="E263" s="669" t="s">
        <v>104</v>
      </c>
      <c r="F263" s="420"/>
      <c r="G263" s="527"/>
      <c r="H263" s="668" t="s">
        <v>54</v>
      </c>
      <c r="I263" s="427"/>
      <c r="J263" s="522">
        <v>0</v>
      </c>
      <c r="K263" s="521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IFERROR(__xludf.DUMMYFUNCTION("IMPORTRANGE(""https://docs.google.com/spreadsheets/d/1-uDff_7J0KD5mKrp0Vvzr7lt3OU09vwQwhkpOPPYv2Y/edit?usp=sharing"",""งบพรบ!DE33"")"),0)</f>
        <v>0</v>
      </c>
      <c r="M271" s="521">
        <f ca="1">IFERROR(__xludf.DUMMYFUNCTION("IMPORTRANGE(""https://docs.google.com/spreadsheets/d/1-uDff_7J0KD5mKrp0Vvzr7lt3OU09vwQwhkpOPPYv2Y/edit?usp=sharing"",""งบพรบ!DJ33"")"),0)</f>
        <v>0</v>
      </c>
      <c r="N271" s="521">
        <f ca="1">IFERROR(__xludf.DUMMYFUNCTION("IMPORTRANGE(""https://docs.google.com/spreadsheets/d/1-uDff_7J0KD5mKrp0Vvzr7lt3OU09vwQwhkpOPPYv2Y/edit?usp=sharing"",""งบพรบ!DL33"")"),0)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IFERROR(__xludf.DUMMYFUNCTION("IMPORTRANGE(""https://docs.google.com/spreadsheets/d/1-uDff_7J0KD5mKrp0Vvzr7lt3OU09vwQwhkpOPPYv2Y/edit?usp=sharing"",""งบพรบ!DH33"")"),0)</f>
        <v>0</v>
      </c>
      <c r="M274" s="521">
        <f ca="1">IFERROR(__xludf.DUMMYFUNCTION("IMPORTRANGE(""https://docs.google.com/spreadsheets/d/1-uDff_7J0KD5mKrp0Vvzr7lt3OU09vwQwhkpOPPYv2Y/edit?usp=sharing"",""งบพรบ!DK33"")"),0)</f>
        <v>0</v>
      </c>
      <c r="N274" s="521">
        <f ca="1">IFERROR(__xludf.DUMMYFUNCTION("IMPORTRANGE(""https://docs.google.com/spreadsheets/d/1-uDff_7J0KD5mKrp0Vvzr7lt3OU09vwQwhkpOPPYv2Y/edit?usp=sharing"",""งบพรบ!DM33"")"),0)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hidden="1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hidden="1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hidden="1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0</v>
      </c>
      <c r="J280" s="629">
        <f>J293</f>
        <v>0</v>
      </c>
      <c r="K280" s="628">
        <f ca="1">IF(I280&gt;0,J280*100/I280,0)</f>
        <v>0</v>
      </c>
      <c r="L280" s="627"/>
      <c r="M280" s="627"/>
      <c r="N280" s="627"/>
      <c r="O280" s="627"/>
      <c r="P280" s="627"/>
    </row>
    <row r="281" spans="1:16" ht="19.5" hidden="1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0</v>
      </c>
      <c r="J281" s="629">
        <f>J292</f>
        <v>0</v>
      </c>
      <c r="K281" s="628">
        <f ca="1">IF(I281&gt;0,J281*100/I281,0)</f>
        <v>0</v>
      </c>
      <c r="L281" s="627"/>
      <c r="M281" s="627"/>
      <c r="N281" s="627"/>
      <c r="O281" s="627"/>
      <c r="P281" s="627"/>
    </row>
    <row r="282" spans="1:16" ht="19.5" hidden="1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0</v>
      </c>
      <c r="M282" s="577">
        <f ca="1">M283+M284</f>
        <v>0</v>
      </c>
      <c r="N282" s="577">
        <f ca="1">N283+N284</f>
        <v>0</v>
      </c>
      <c r="O282" s="577">
        <f ca="1">IF(L282&gt;0,N282*100/L282,0)</f>
        <v>0</v>
      </c>
      <c r="P282" s="577">
        <f ca="1">IF(M282&gt;0,N282*100/M282,0)</f>
        <v>0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hidden="1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0</v>
      </c>
      <c r="M284" s="425">
        <f ca="1">M287+M290</f>
        <v>0</v>
      </c>
      <c r="N284" s="425">
        <f ca="1">N287+N290</f>
        <v>0</v>
      </c>
      <c r="O284" s="425">
        <f ca="1">IF(L284&gt;0,N284*100/L284,0)</f>
        <v>0</v>
      </c>
      <c r="P284" s="425">
        <f ca="1">IF(M284&gt;0,N284*100/M284,0)</f>
        <v>0</v>
      </c>
    </row>
    <row r="285" spans="1:16" ht="18.75" hidden="1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0</v>
      </c>
      <c r="M285" s="425">
        <f ca="1">M286+M287</f>
        <v>0</v>
      </c>
      <c r="N285" s="425">
        <f ca="1">N286+N287</f>
        <v>0</v>
      </c>
      <c r="O285" s="425">
        <f ca="1">IF(L285&gt;0,N285*100/L285,0)</f>
        <v>0</v>
      </c>
      <c r="P285" s="425">
        <f ca="1">IF(M285&gt;0,N285*100/M285,0)</f>
        <v>0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hidden="1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IFERROR(__xludf.DUMMYFUNCTION("IMPORTRANGE(""https://docs.google.com/spreadsheets/d/1-uDff_7J0KD5mKrp0Vvzr7lt3OU09vwQwhkpOPPYv2Y/edit?usp=sharing"",""งบพรบ!DO33"")"),0)</f>
        <v>0</v>
      </c>
      <c r="M287" s="425">
        <f ca="1">IFERROR(__xludf.DUMMYFUNCTION("IMPORTRANGE(""https://docs.google.com/spreadsheets/d/1-uDff_7J0KD5mKrp0Vvzr7lt3OU09vwQwhkpOPPYv2Y/edit?usp=sharing"",""งบพรบ!DT33"")"),0)</f>
        <v>0</v>
      </c>
      <c r="N287" s="425">
        <f ca="1">IFERROR(__xludf.DUMMYFUNCTION("IMPORTRANGE(""https://docs.google.com/spreadsheets/d/1-uDff_7J0KD5mKrp0Vvzr7lt3OU09vwQwhkpOPPYv2Y/edit?usp=sharing"",""งบพรบ!DV33"")"),0)</f>
        <v>0</v>
      </c>
      <c r="O287" s="425">
        <f ca="1">IF(L287&gt;0,N287*100/L287,0)</f>
        <v>0</v>
      </c>
      <c r="P287" s="425">
        <f ca="1">IF(M287&gt;0,N287*100/M287,0)</f>
        <v>0</v>
      </c>
    </row>
    <row r="288" spans="1:16" ht="18.75" hidden="1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hidden="1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IFERROR(__xludf.DUMMYFUNCTION("IMPORTRANGE(""https://docs.google.com/spreadsheets/d/1-uDff_7J0KD5mKrp0Vvzr7lt3OU09vwQwhkpOPPYv2Y/edit?usp=sharing"",""งบพรบ!DR33"")"),0)</f>
        <v>0</v>
      </c>
      <c r="M290" s="425">
        <f ca="1">IFERROR(__xludf.DUMMYFUNCTION("IMPORTRANGE(""https://docs.google.com/spreadsheets/d/1-uDff_7J0KD5mKrp0Vvzr7lt3OU09vwQwhkpOPPYv2Y/edit?usp=sharing"",""งบพรบ!DU33"")"),0)</f>
        <v>0</v>
      </c>
      <c r="N290" s="425">
        <f ca="1">IFERROR(__xludf.DUMMYFUNCTION("IMPORTRANGE(""https://docs.google.com/spreadsheets/d/1-uDff_7J0KD5mKrp0Vvzr7lt3OU09vwQwhkpOPPYv2Y/edit?usp=sharing"",""งบพรบ!DW33"")"),0)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hidden="1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hidden="1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IFERROR(__xludf.DUMMYFUNCTION("IMPORTRANGE(""https://docs.google.com/spreadsheets/d/1eHaY18a8A9IcSdp1K8H6x8fbOy06t2VsZHhMHf-1x7Y/edit?usp=sharing"",""แผน!EE33"")"),0)</f>
        <v>0</v>
      </c>
      <c r="J292" s="595">
        <v>0</v>
      </c>
      <c r="K292" s="621">
        <f ca="1">IF(I292&gt;0,J292*100/I292,0)</f>
        <v>0</v>
      </c>
      <c r="L292" s="525"/>
      <c r="M292" s="525"/>
      <c r="N292" s="525"/>
      <c r="O292" s="525"/>
      <c r="P292" s="525"/>
    </row>
    <row r="293" spans="1:16" ht="19.5" hidden="1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IFERROR(__xludf.DUMMYFUNCTION("IMPORTRANGE(""https://docs.google.com/spreadsheets/d/1eHaY18a8A9IcSdp1K8H6x8fbOy06t2VsZHhMHf-1x7Y/edit?usp=sharing"",""แผน!ED33"")"),0)</f>
        <v>0</v>
      </c>
      <c r="J293" s="625">
        <f>J296</f>
        <v>0</v>
      </c>
      <c r="K293" s="624">
        <f ca="1">IF(I293&gt;0,J293*100/I293,0)</f>
        <v>0</v>
      </c>
      <c r="L293" s="525"/>
      <c r="M293" s="525"/>
      <c r="N293" s="525"/>
      <c r="O293" s="525"/>
      <c r="P293" s="525"/>
    </row>
    <row r="294" spans="1:16" ht="19.5" hidden="1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hidden="1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IFERROR(__xludf.DUMMYFUNCTION("IMPORTRANGE(""https://docs.google.com/spreadsheets/d/1eHaY18a8A9IcSdp1K8H6x8fbOy06t2VsZHhMHf-1x7Y/edit?usp=sharing"",""แผน!ED33"")"),0)</f>
        <v>0</v>
      </c>
      <c r="J295" s="595">
        <v>0</v>
      </c>
      <c r="K295" s="621">
        <f ca="1">IF(I295&gt;0,J295*100/I295,0)</f>
        <v>0</v>
      </c>
      <c r="L295" s="525"/>
      <c r="M295" s="525"/>
      <c r="N295" s="525"/>
      <c r="O295" s="525"/>
      <c r="P295" s="525"/>
    </row>
    <row r="296" spans="1:16" ht="19.5" hidden="1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IFERROR(__xludf.DUMMYFUNCTION("IMPORTRANGE(""https://docs.google.com/spreadsheets/d/1eHaY18a8A9IcSdp1K8H6x8fbOy06t2VsZHhMHf-1x7Y/edit?usp=sharing"",""แผน!ED33"")"),0)</f>
        <v>0</v>
      </c>
      <c r="J296" s="595">
        <v>0</v>
      </c>
      <c r="K296" s="621">
        <f ca="1">IF(I296&gt;0,J296*100/I296,0)</f>
        <v>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hidden="1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hidden="1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hidden="1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0</v>
      </c>
      <c r="J302" s="598">
        <f>J314</f>
        <v>0</v>
      </c>
      <c r="K302" s="597">
        <f ca="1">IF(I302&gt;0,J302*100/I302,0)</f>
        <v>0</v>
      </c>
      <c r="L302" s="580"/>
      <c r="M302" s="580"/>
      <c r="N302" s="580"/>
      <c r="O302" s="580"/>
      <c r="P302" s="580"/>
    </row>
    <row r="303" spans="1:16" ht="19.5" hidden="1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0</v>
      </c>
      <c r="M303" s="577">
        <f ca="1">M304+M305</f>
        <v>0</v>
      </c>
      <c r="N303" s="577">
        <f ca="1">N304+N305</f>
        <v>0</v>
      </c>
      <c r="O303" s="577">
        <f ca="1">IF(L303&gt;0,N303*100/L303,0)</f>
        <v>0</v>
      </c>
      <c r="P303" s="577">
        <f ca="1">IF(M303&gt;0,N303*100/M303,0)</f>
        <v>0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hidden="1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0</v>
      </c>
      <c r="M305" s="425">
        <f ca="1">M308+M311</f>
        <v>0</v>
      </c>
      <c r="N305" s="425">
        <f ca="1">N308+N311</f>
        <v>0</v>
      </c>
      <c r="O305" s="425">
        <f ca="1">IF(L305&gt;0,N305*100/L305,0)</f>
        <v>0</v>
      </c>
      <c r="P305" s="425">
        <f ca="1">IF(M305&gt;0,N305*100/M305,0)</f>
        <v>0</v>
      </c>
    </row>
    <row r="306" spans="1:16" ht="18.75" hidden="1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0</v>
      </c>
      <c r="M306" s="425">
        <f ca="1">M307+M308</f>
        <v>0</v>
      </c>
      <c r="N306" s="425">
        <f ca="1">N307+N308</f>
        <v>0</v>
      </c>
      <c r="O306" s="425">
        <f ca="1">IF(L306&gt;0,N306*100/L306,0)</f>
        <v>0</v>
      </c>
      <c r="P306" s="425">
        <f ca="1">IF(M306&gt;0,N306*100/M306,0)</f>
        <v>0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hidden="1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IFERROR(__xludf.DUMMYFUNCTION("IMPORTRANGE(""https://docs.google.com/spreadsheets/d/1-uDff_7J0KD5mKrp0Vvzr7lt3OU09vwQwhkpOPPYv2Y/edit?usp=sharing"",""งบพรบ!DY33"")"),0)</f>
        <v>0</v>
      </c>
      <c r="M308" s="425">
        <f ca="1">IFERROR(__xludf.DUMMYFUNCTION("IMPORTRANGE(""https://docs.google.com/spreadsheets/d/1-uDff_7J0KD5mKrp0Vvzr7lt3OU09vwQwhkpOPPYv2Y/edit?usp=sharing"",""งบพรบ!ED33"")"),0)</f>
        <v>0</v>
      </c>
      <c r="N308" s="425">
        <f ca="1">IFERROR(__xludf.DUMMYFUNCTION("IMPORTRANGE(""https://docs.google.com/spreadsheets/d/1-uDff_7J0KD5mKrp0Vvzr7lt3OU09vwQwhkpOPPYv2Y/edit?usp=sharing"",""งบพรบ!EF33"")"),0)</f>
        <v>0</v>
      </c>
      <c r="O308" s="425">
        <f ca="1">IF(L308&gt;0,N308*100/L308,0)</f>
        <v>0</v>
      </c>
      <c r="P308" s="425">
        <f ca="1">IF(M308&gt;0,N308*100/M308,0)</f>
        <v>0</v>
      </c>
    </row>
    <row r="309" spans="1:16" ht="18.75" hidden="1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hidden="1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IFERROR(__xludf.DUMMYFUNCTION("IMPORTRANGE(""https://docs.google.com/spreadsheets/d/1-uDff_7J0KD5mKrp0Vvzr7lt3OU09vwQwhkpOPPYv2Y/edit?usp=sharing"",""งบพรบ!EB33"")"),0)</f>
        <v>0</v>
      </c>
      <c r="M311" s="425">
        <f ca="1">IFERROR(__xludf.DUMMYFUNCTION("IMPORTRANGE(""https://docs.google.com/spreadsheets/d/1-uDff_7J0KD5mKrp0Vvzr7lt3OU09vwQwhkpOPPYv2Y/edit?usp=sharing"",""งบพรบ!EE33"")"),0)</f>
        <v>0</v>
      </c>
      <c r="N311" s="425">
        <f ca="1">IFERROR(__xludf.DUMMYFUNCTION("IMPORTRANGE(""https://docs.google.com/spreadsheets/d/1-uDff_7J0KD5mKrp0Vvzr7lt3OU09vwQwhkpOPPYv2Y/edit?usp=sharing"",""งบพรบ!EG33"")"),0)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hidden="1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hidden="1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0</v>
      </c>
      <c r="K313" s="428"/>
      <c r="L313" s="428"/>
      <c r="M313" s="428"/>
      <c r="N313" s="428"/>
      <c r="O313" s="428"/>
      <c r="P313" s="428"/>
    </row>
    <row r="314" spans="1:16" ht="18.75" hidden="1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IFERROR(__xludf.DUMMYFUNCTION("IMPORTRANGE(""https://docs.google.com/spreadsheets/d/1eHaY18a8A9IcSdp1K8H6x8fbOy06t2VsZHhMHf-1x7Y/edit?usp=sharing"",""แผน!EF33"")"),0)</f>
        <v>0</v>
      </c>
      <c r="J314" s="595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hidden="1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IFERROR(__xludf.DUMMYFUNCTION("IMPORTRANGE(""https://docs.google.com/spreadsheets/d/1eHaY18a8A9IcSdp1K8H6x8fbOy06t2VsZHhMHf-1x7Y/edit?usp=sharing"",""แผน!EG33"")"),0)</f>
        <v>0</v>
      </c>
      <c r="J315" s="595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hidden="1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IFERROR(__xludf.DUMMYFUNCTION("IMPORTRANGE(""https://docs.google.com/spreadsheets/d/1eHaY18a8A9IcSdp1K8H6x8fbOy06t2VsZHhMHf-1x7Y/edit?usp=sharing"",""แผน!EH33"")"),0)</f>
        <v>0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199">
        <f ca="1">IFERROR(__xludf.DUMMYFUNCTION("IMPORTRANGE(""https://docs.google.com/spreadsheets/d/1eHaY18a8A9IcSdp1K8H6x8fbOy06t2VsZHhMHf-1x7Y/edit?usp=sharing"",""แผน!EI33"")"),0)</f>
        <v>0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hidden="1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0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hidden="1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0</v>
      </c>
      <c r="M320" s="577">
        <f ca="1">M321+M322</f>
        <v>0</v>
      </c>
      <c r="N320" s="577">
        <f ca="1">N321+N322</f>
        <v>0</v>
      </c>
      <c r="O320" s="577">
        <f ca="1">IF(L320&gt;0,N320*100/L320,0)</f>
        <v>0</v>
      </c>
      <c r="P320" s="577">
        <f ca="1">IF(M320&gt;0,N320*100/M320,0)</f>
        <v>0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hidden="1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hidden="1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IFERROR(__xludf.DUMMYFUNCTION("IMPORTRANGE(""https://docs.google.com/spreadsheets/d/1-uDff_7J0KD5mKrp0Vvzr7lt3OU09vwQwhkpOPPYv2Y/edit?usp=sharing"",""งบพรบ!EI33"")"),0)</f>
        <v>0</v>
      </c>
      <c r="M325" s="425">
        <f ca="1">IFERROR(__xludf.DUMMYFUNCTION("IMPORTRANGE(""https://docs.google.com/spreadsheets/d/1-uDff_7J0KD5mKrp0Vvzr7lt3OU09vwQwhkpOPPYv2Y/edit?usp=sharing"",""งบพรบ!EN33"")"),0)</f>
        <v>0</v>
      </c>
      <c r="N325" s="425">
        <f ca="1">IFERROR(__xludf.DUMMYFUNCTION("IMPORTRANGE(""https://docs.google.com/spreadsheets/d/1-uDff_7J0KD5mKrp0Vvzr7lt3OU09vwQwhkpOPPYv2Y/edit?usp=sharing"",""งบพรบ!EP33"")"),0)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hidden="1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IFERROR(__xludf.DUMMYFUNCTION("IMPORTRANGE(""https://docs.google.com/spreadsheets/d/1-uDff_7J0KD5mKrp0Vvzr7lt3OU09vwQwhkpOPPYv2Y/edit?usp=sharing"",""งบพรบ!EL33"")"),0)</f>
        <v>0</v>
      </c>
      <c r="M328" s="425">
        <f ca="1">IFERROR(__xludf.DUMMYFUNCTION("IMPORTRANGE(""https://docs.google.com/spreadsheets/d/1-uDff_7J0KD5mKrp0Vvzr7lt3OU09vwQwhkpOPPYv2Y/edit?usp=sharing"",""งบพรบ!EO33"")"),0)</f>
        <v>0</v>
      </c>
      <c r="N328" s="425">
        <f ca="1">IFERROR(__xludf.DUMMYFUNCTION("IMPORTRANGE(""https://docs.google.com/spreadsheets/d/1-uDff_7J0KD5mKrp0Vvzr7lt3OU09vwQwhkpOPPYv2Y/edit?usp=sharing"",""งบพรบ!EQ33"")"),0)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hidden="1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IFERROR(__xludf.DUMMYFUNCTION("IMPORTRANGE(""https://docs.google.com/spreadsheets/d/1eHaY18a8A9IcSdp1K8H6x8fbOy06t2VsZHhMHf-1x7Y/edit?usp=sharing"",""แผน!EJ33"")"),0)</f>
        <v>0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2860</v>
      </c>
      <c r="J332" s="402">
        <f ca="1">J344+J347+J348+J349+J353</f>
        <v>3563</v>
      </c>
      <c r="K332" s="403">
        <f ca="1">IF(I332&gt;0,J332*100/I332,0)</f>
        <v>124.58041958041959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117000</v>
      </c>
      <c r="M333" s="577">
        <f ca="1">M334+M335</f>
        <v>92150</v>
      </c>
      <c r="N333" s="577">
        <f ca="1">N334+N335</f>
        <v>19019</v>
      </c>
      <c r="O333" s="577">
        <f ca="1">IF(L333&gt;0,N333*100/L333,0)</f>
        <v>16.255555555555556</v>
      </c>
      <c r="P333" s="577">
        <f ca="1">IF(M333&gt;0,N333*100/M333,0)</f>
        <v>20.63917525773196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117000</v>
      </c>
      <c r="M335" s="425">
        <f ca="1">M338+M341</f>
        <v>92150</v>
      </c>
      <c r="N335" s="425">
        <f ca="1">N338+N341</f>
        <v>19019</v>
      </c>
      <c r="O335" s="425">
        <f ca="1">IF(L335&gt;0,N335*100/L335,0)</f>
        <v>16.255555555555556</v>
      </c>
      <c r="P335" s="425">
        <f ca="1">IF(M335&gt;0,N335*100/M335,0)</f>
        <v>20.63917525773196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117000</v>
      </c>
      <c r="M336" s="425">
        <f ca="1">M337+M338</f>
        <v>92150</v>
      </c>
      <c r="N336" s="425">
        <f ca="1">N337+N338</f>
        <v>19019</v>
      </c>
      <c r="O336" s="425">
        <f ca="1">IF(L336&gt;0,N336*100/L336,0)</f>
        <v>16.255555555555556</v>
      </c>
      <c r="P336" s="425">
        <f ca="1">IF(M336&gt;0,N336*100/M336,0)</f>
        <v>20.63917525773196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IFERROR(__xludf.DUMMYFUNCTION("IMPORTRANGE(""https://docs.google.com/spreadsheets/d/1-uDff_7J0KD5mKrp0Vvzr7lt3OU09vwQwhkpOPPYv2Y/edit?usp=sharing"",""งบพรบ!ES33"")"),117000)</f>
        <v>117000</v>
      </c>
      <c r="M338" s="425">
        <f ca="1">IFERROR(__xludf.DUMMYFUNCTION("IMPORTRANGE(""https://docs.google.com/spreadsheets/d/1-uDff_7J0KD5mKrp0Vvzr7lt3OU09vwQwhkpOPPYv2Y/edit?usp=sharing"",""งบพรบ!EX33"")"),92150)</f>
        <v>92150</v>
      </c>
      <c r="N338" s="425">
        <f ca="1">IFERROR(__xludf.DUMMYFUNCTION("IMPORTRANGE(""https://docs.google.com/spreadsheets/d/1-uDff_7J0KD5mKrp0Vvzr7lt3OU09vwQwhkpOPPYv2Y/edit?usp=sharing"",""งบพรบ!EZ33"")"),19019)</f>
        <v>19019</v>
      </c>
      <c r="O338" s="425">
        <f ca="1">IF(L338&gt;0,N338*100/L338,0)</f>
        <v>16.255555555555556</v>
      </c>
      <c r="P338" s="425">
        <f ca="1">IF(M338&gt;0,N338*100/M338,0)</f>
        <v>20.63917525773196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IFERROR(__xludf.DUMMYFUNCTION("IMPORTRANGE(""https://docs.google.com/spreadsheets/d/1-uDff_7J0KD5mKrp0Vvzr7lt3OU09vwQwhkpOPPYv2Y/edit?usp=sharing"",""งบพรบ!EV33"")"),0)</f>
        <v>0</v>
      </c>
      <c r="M341" s="425">
        <f ca="1">IFERROR(__xludf.DUMMYFUNCTION("IMPORTRANGE(""https://docs.google.com/spreadsheets/d/1-uDff_7J0KD5mKrp0Vvzr7lt3OU09vwQwhkpOPPYv2Y/edit?usp=sharing"",""งบพรบ!EY33"")"),0)</f>
        <v>0</v>
      </c>
      <c r="N341" s="425">
        <f ca="1">IFERROR(__xludf.DUMMYFUNCTION("IMPORTRANGE(""https://docs.google.com/spreadsheets/d/1-uDff_7J0KD5mKrp0Vvzr7lt3OU09vwQwhkpOPPYv2Y/edit?usp=sharing"",""งบพรบ!FA33"")"),0)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1513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IFERROR(__xludf.DUMMYFUNCTION("IMPORTRANGE(""https://docs.google.com/spreadsheets/d/1eHaY18a8A9IcSdp1K8H6x8fbOy06t2VsZHhMHf-1x7Y/edit?usp=sharing"",""แผน!EK33"")"),2860)</f>
        <v>2860</v>
      </c>
      <c r="J344" s="424">
        <f ca="1">IFERROR(__xludf.DUMMYFUNCTION("IMPORTRANGE(""https://docs.google.com/spreadsheets/d/1awYsYK3VOup2i3Pq_Yjnu8DRu_mYwSBnCR2QPthd0rU/edit?usp=sharing"",""ศูนย์ยกเว้นโฉนด!D33"")"),1183)</f>
        <v>1183</v>
      </c>
      <c r="K344" s="425">
        <f ca="1">IF(I344&gt;0,J344*100/I344,0)</f>
        <v>41.363636363636367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IFERROR(__xludf.DUMMYFUNCTION("IMPORTRANGE(""https://docs.google.com/spreadsheets/d/1eHaY18a8A9IcSdp1K8H6x8fbOy06t2VsZHhMHf-1x7Y/edit?usp=sharing"",""แผน!EL33"")"),7)</f>
        <v>7</v>
      </c>
      <c r="J346" s="424">
        <f ca="1">IFERROR(__xludf.DUMMYFUNCTION("IMPORTRANGE(""https://docs.google.com/spreadsheets/d/1awYsYK3VOup2i3Pq_Yjnu8DRu_mYwSBnCR2QPthd0rU/edit?usp=sharing"",""ศูนย์รวม!E33"")"),1)</f>
        <v>1</v>
      </c>
      <c r="K346" s="425">
        <f ca="1">IF(I346&gt;0,J346*100/I346,0)</f>
        <v>14.285714285714286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IFERROR(__xludf.DUMMYFUNCTION("IMPORTRANGE(""https://docs.google.com/spreadsheets/d/1awYsYK3VOup2i3Pq_Yjnu8DRu_mYwSBnCR2QPthd0rU/edit?usp=sharing"",""ศูนย์ยกเว้นโฉนด!F33"")"),21)</f>
        <v>21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IFERROR(__xludf.DUMMYFUNCTION("IMPORTRANGE(""https://docs.google.com/spreadsheets/d/1awYsYK3VOup2i3Pq_Yjnu8DRu_mYwSBnCR2QPthd0rU/edit?usp=sharing"",""ศูนย์ยกเว้นโฉนด!G33"")"),309)</f>
        <v>309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IFERROR(__xludf.DUMMYFUNCTION("IMPORTRANGE(""https://docs.google.com/spreadsheets/d/1awYsYK3VOup2i3Pq_Yjnu8DRu_mYwSBnCR2QPthd0rU/edit?usp=sharing"",""ศูนย์ยกเว้นโฉนด!H33"")"),0)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3401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IFERROR(__xludf.DUMMYFUNCTION("IMPORTRANGE(""https://docs.google.com/spreadsheets/d/1awYsYK3VOup2i3Pq_Yjnu8DRu_mYwSBnCR2QPthd0rU/edit?usp=sharing"",""โฉนดM3!G33"")"),1351)</f>
        <v>1351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IFERROR(__xludf.DUMMYFUNCTION("IMPORTRANGE(""https://docs.google.com/spreadsheets/d/1awYsYK3VOup2i3Pq_Yjnu8DRu_mYwSBnCR2QPthd0rU/edit?usp=sharing"",""โฉนดM3!H33"")"),2050)</f>
        <v>2050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877045</v>
      </c>
      <c r="M356" s="577">
        <f ca="1">M357+M358</f>
        <v>738845</v>
      </c>
      <c r="N356" s="577">
        <f ca="1">N357+N358</f>
        <v>386748.22</v>
      </c>
      <c r="O356" s="577">
        <f ca="1">IF(L356&gt;0,N356*100/L356,0)</f>
        <v>44.096736199396837</v>
      </c>
      <c r="P356" s="577">
        <f ca="1">IF(M356&gt;0,N356*100/M356,0)</f>
        <v>52.344973573618283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877045</v>
      </c>
      <c r="M358" s="425">
        <f ca="1">M361+M364</f>
        <v>738845</v>
      </c>
      <c r="N358" s="425">
        <f ca="1">N361+N364</f>
        <v>386748.22</v>
      </c>
      <c r="O358" s="425">
        <f ca="1">IF(L358&gt;0,N358*100/L358,0)</f>
        <v>44.096736199396837</v>
      </c>
      <c r="P358" s="425">
        <f ca="1">IF(M358&gt;0,N358*100/M358,0)</f>
        <v>52.344973573618283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877045</v>
      </c>
      <c r="M359" s="425">
        <f ca="1">M360+M361</f>
        <v>738845</v>
      </c>
      <c r="N359" s="425">
        <f ca="1">N360+N361</f>
        <v>386748.22</v>
      </c>
      <c r="O359" s="425">
        <f ca="1">IF(L359&gt;0,N359*100/L359,0)</f>
        <v>44.096736199396837</v>
      </c>
      <c r="P359" s="425">
        <f ca="1">IF(M359&gt;0,N359*100/M359,0)</f>
        <v>52.344973573618283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IFERROR(__xludf.DUMMYFUNCTION("IMPORTRANGE(""https://docs.google.com/spreadsheets/d/1-uDff_7J0KD5mKrp0Vvzr7lt3OU09vwQwhkpOPPYv2Y/edit?usp=sharing"",""งบพรบ!FC33"")"),877045)</f>
        <v>877045</v>
      </c>
      <c r="M361" s="425">
        <f ca="1">IFERROR(__xludf.DUMMYFUNCTION("IMPORTRANGE(""https://docs.google.com/spreadsheets/d/1-uDff_7J0KD5mKrp0Vvzr7lt3OU09vwQwhkpOPPYv2Y/edit?usp=sharing"",""งบพรบ!FH33"")"),738845)</f>
        <v>738845</v>
      </c>
      <c r="N361" s="425">
        <f ca="1">IFERROR(__xludf.DUMMYFUNCTION("IMPORTRANGE(""https://docs.google.com/spreadsheets/d/1-uDff_7J0KD5mKrp0Vvzr7lt3OU09vwQwhkpOPPYv2Y/edit?usp=sharing"",""งบพรบ!FJ33"")"),386748.22)</f>
        <v>386748.22</v>
      </c>
      <c r="O361" s="425">
        <f ca="1">IF(L361&gt;0,N361*100/L361,0)</f>
        <v>44.096736199396837</v>
      </c>
      <c r="P361" s="425">
        <f ca="1">IF(M361&gt;0,N361*100/M361,0)</f>
        <v>52.344973573618283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IFERROR(__xludf.DUMMYFUNCTION("IMPORTRANGE(""https://docs.google.com/spreadsheets/d/1-uDff_7J0KD5mKrp0Vvzr7lt3OU09vwQwhkpOPPYv2Y/edit?usp=sharing"",""งบพรบ!FF33"")"),0)</f>
        <v>0</v>
      </c>
      <c r="M364" s="425">
        <f ca="1">IFERROR(__xludf.DUMMYFUNCTION("IMPORTRANGE(""https://docs.google.com/spreadsheets/d/1-uDff_7J0KD5mKrp0Vvzr7lt3OU09vwQwhkpOPPYv2Y/edit?usp=sharing"",""งบพรบ!FI33"")"),0)</f>
        <v>0</v>
      </c>
      <c r="N364" s="425">
        <f ca="1">IFERROR(__xludf.DUMMYFUNCTION("IMPORTRANGE(""https://docs.google.com/spreadsheets/d/1-uDff_7J0KD5mKrp0Vvzr7lt3OU09vwQwhkpOPPYv2Y/edit?usp=sharing"",""งบพรบ!FK33"")"),0)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354</v>
      </c>
      <c r="J365" s="438">
        <f ca="1">J371</f>
        <v>181</v>
      </c>
      <c r="K365" s="439">
        <f ca="1">IF(I365&gt;0,J365*100/I365,0)</f>
        <v>51.129943502824858</v>
      </c>
      <c r="L365" s="571"/>
      <c r="M365" s="571"/>
      <c r="N365" s="571"/>
      <c r="O365" s="571"/>
      <c r="P365" s="571"/>
    </row>
    <row r="366" spans="1:16" ht="19.5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IFERROR(__xludf.DUMMYFUNCTION("IMPORTRANGE(""https://docs.google.com/spreadsheets/d/1tdoBKaGub7dwA3U6UFTqxio9LNnvDCQjHKmttSEBsFQ/edit?usp=sharing"",""จัดที่ดิน!AB33"")"),62)</f>
        <v>62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IFERROR(__xludf.DUMMYFUNCTION("IMPORTRANGE(""https://docs.google.com/spreadsheets/d/1eHaY18a8A9IcSdp1K8H6x8fbOy06t2VsZHhMHf-1x7Y/edit?usp=sharing"",""แผน!EW33"")"),3505)</f>
        <v>3505</v>
      </c>
      <c r="J368" s="565">
        <f ca="1">IFERROR(__xludf.DUMMYFUNCTION("IMPORTRANGE(""https://docs.google.com/spreadsheets/d/1tdoBKaGub7dwA3U6UFTqxio9LNnvDCQjHKmttSEBsFQ/edit?usp=sharing"",""จัดที่ดิน!AC33"")"),671.709999999999)</f>
        <v>671.70999999999901</v>
      </c>
      <c r="K368" s="425">
        <f ca="1">IF(I368&gt;0,J368*100/I368,0)</f>
        <v>19.164336661911527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IFERROR(__xludf.DUMMYFUNCTION("IMPORTRANGE(""https://docs.google.com/spreadsheets/d/1eHaY18a8A9IcSdp1K8H6x8fbOy06t2VsZHhMHf-1x7Y/edit?usp=sharing"",""แผน!EX33"")"),551)</f>
        <v>551</v>
      </c>
      <c r="J369" s="424">
        <f ca="1">IFERROR(__xludf.DUMMYFUNCTION("IMPORTRANGE(""https://docs.google.com/spreadsheets/d/1tdoBKaGub7dwA3U6UFTqxio9LNnvDCQjHKmttSEBsFQ/edit?usp=sharing"",""จัดที่ดิน!AD33"")"),375)</f>
        <v>375</v>
      </c>
      <c r="K369" s="425">
        <f ca="1">IF(I369&gt;0,J369*100/I369,0)</f>
        <v>68.058076225045369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IFERROR(__xludf.DUMMYFUNCTION("IMPORTRANGE(""https://docs.google.com/spreadsheets/d/1tdoBKaGub7dwA3U6UFTqxio9LNnvDCQjHKmttSEBsFQ/edit?usp=sharing"",""จัดที่ดิน!AE33"")"),4355.84)</f>
        <v>4355.84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IFERROR(__xludf.DUMMYFUNCTION("IMPORTRANGE(""https://docs.google.com/spreadsheets/d/1eHaY18a8A9IcSdp1K8H6x8fbOy06t2VsZHhMHf-1x7Y/edit?usp=sharing"",""แผน!EY33"")"),354)</f>
        <v>354</v>
      </c>
      <c r="J371" s="424">
        <f ca="1">IFERROR(__xludf.DUMMYFUNCTION("IMPORTRANGE(""https://docs.google.com/spreadsheets/d/1tdoBKaGub7dwA3U6UFTqxio9LNnvDCQjHKmttSEBsFQ/edit?usp=sharing"",""จัดที่ดิน!AF33"")"),181)</f>
        <v>181</v>
      </c>
      <c r="K371" s="425">
        <f ca="1">IF(I371&gt;0,J371*100/I371,0)</f>
        <v>51.129943502824858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IFERROR(__xludf.DUMMYFUNCTION("IMPORTRANGE(""https://docs.google.com/spreadsheets/d/1tdoBKaGub7dwA3U6UFTqxio9LNnvDCQjHKmttSEBsFQ/edit?usp=sharing"",""จัดที่ดิน!AG33"")"),2288.78)</f>
        <v>2288.7800000000002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IFERROR(__xludf.DUMMYFUNCTION("IMPORTRANGE(""https://docs.google.com/spreadsheets/d/1-uDff_7J0KD5mKrp0Vvzr7lt3OU09vwQwhkpOPPYv2Y/edit?usp=sharing"",""งบพรบ!FM33"")"),0)</f>
        <v>0</v>
      </c>
      <c r="M382" s="521">
        <f ca="1">IFERROR(__xludf.DUMMYFUNCTION("IMPORTRANGE(""https://docs.google.com/spreadsheets/d/1-uDff_7J0KD5mKrp0Vvzr7lt3OU09vwQwhkpOPPYv2Y/edit?usp=sharing"",""งบพรบ!FR33"")"),0)</f>
        <v>0</v>
      </c>
      <c r="N382" s="521">
        <f ca="1">IFERROR(__xludf.DUMMYFUNCTION("IMPORTRANGE(""https://docs.google.com/spreadsheets/d/1-uDff_7J0KD5mKrp0Vvzr7lt3OU09vwQwhkpOPPYv2Y/edit?usp=sharing"",""งบพรบ!FT33"")"),0)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IFERROR(__xludf.DUMMYFUNCTION("IMPORTRANGE(""https://docs.google.com/spreadsheets/d/1-uDff_7J0KD5mKrp0Vvzr7lt3OU09vwQwhkpOPPYv2Y/edit?usp=sharing"",""งบพรบ!FP33"")"),0)</f>
        <v>0</v>
      </c>
      <c r="M385" s="521">
        <f ca="1">IFERROR(__xludf.DUMMYFUNCTION("IMPORTRANGE(""https://docs.google.com/spreadsheets/d/1-uDff_7J0KD5mKrp0Vvzr7lt3OU09vwQwhkpOPPYv2Y/edit?usp=sharing"",""งบพรบ!FS33"")"),0)</f>
        <v>0</v>
      </c>
      <c r="N385" s="521">
        <f ca="1">IFERROR(__xludf.DUMMYFUNCTION("IMPORTRANGE(""https://docs.google.com/spreadsheets/d/1-uDff_7J0KD5mKrp0Vvzr7lt3OU09vwQwhkpOPPYv2Y/edit?usp=sharing"",""งบพรบ!FU33"")"),0)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8A438-7525-4D9F-9FE7-0018FA09196D}">
  <sheetPr>
    <outlinePr summaryBelow="0" summaryRight="0"/>
    <pageSetUpPr fitToPage="1"/>
  </sheetPr>
  <dimension ref="A1:P391"/>
  <sheetViews>
    <sheetView view="pageBreakPreview" zoomScale="60" zoomScaleNormal="70" workbookViewId="0">
      <pane xSplit="8" ySplit="17" topLeftCell="I18" activePane="bottomRight" state="frozen"/>
      <selection activeCell="H27" sqref="H27"/>
      <selection pane="topRight" activeCell="H27" sqref="H27"/>
      <selection pane="bottomLeft" activeCell="H27" sqref="H27"/>
      <selection pane="bottomRight" activeCell="H27" sqref="H27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5.140625" customWidth="1"/>
    <col min="11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869" t="s">
        <v>0</v>
      </c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  <c r="O1" s="869"/>
      <c r="P1" s="869"/>
    </row>
    <row r="2" spans="1:16" ht="19.5" x14ac:dyDescent="0.3">
      <c r="A2" s="869" t="s">
        <v>162</v>
      </c>
      <c r="B2" s="869"/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  <c r="P2" s="869"/>
    </row>
    <row r="3" spans="1:16" ht="19.5" x14ac:dyDescent="0.3">
      <c r="A3" s="869"/>
      <c r="B3" s="869"/>
      <c r="C3" s="869"/>
      <c r="D3" s="869"/>
      <c r="E3" s="869"/>
      <c r="F3" s="869"/>
      <c r="G3" s="869"/>
      <c r="H3" s="869"/>
      <c r="I3" s="869"/>
      <c r="J3" s="869"/>
      <c r="K3" s="869"/>
      <c r="L3" s="869"/>
      <c r="M3" s="869"/>
      <c r="N3" s="869"/>
      <c r="O3" s="869"/>
      <c r="P3" s="869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5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493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2791840</v>
      </c>
      <c r="M18" s="704">
        <f ca="1">M19+M20</f>
        <v>2370725</v>
      </c>
      <c r="N18" s="704">
        <f ca="1">N19+N20</f>
        <v>705564.91</v>
      </c>
      <c r="O18" s="704">
        <f ca="1">IF(L18&gt;0,N18*100/L18,0)</f>
        <v>25.272397773511376</v>
      </c>
      <c r="P18" s="704">
        <f ca="1">IF(M18&gt;0,N18*100/M18,0)</f>
        <v>29.761567031182445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2791840</v>
      </c>
      <c r="M20" s="817">
        <f ca="1">M23+M26</f>
        <v>2370725</v>
      </c>
      <c r="N20" s="817">
        <f ca="1">N23+N26</f>
        <v>705564.91</v>
      </c>
      <c r="O20" s="817">
        <f ca="1">IF(L20&gt;0,N20*100/L20,0)</f>
        <v>25.272397773511376</v>
      </c>
      <c r="P20" s="817">
        <f ca="1">IF(M20&gt;0,N20*100/M20,0)</f>
        <v>29.761567031182445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2791840</v>
      </c>
      <c r="M21" s="425">
        <f ca="1">M22+M23</f>
        <v>2370725</v>
      </c>
      <c r="N21" s="425">
        <f ca="1">N22+N23</f>
        <v>705564.91</v>
      </c>
      <c r="O21" s="425">
        <f ca="1">IF(L21&gt;0,N21*100/L21,0)</f>
        <v>25.272397773511376</v>
      </c>
      <c r="P21" s="425">
        <f ca="1">IF(M21&gt;0,N21*100/M21,0)</f>
        <v>29.761567031182445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2791840</v>
      </c>
      <c r="M23" s="425">
        <f ca="1">M49+M64+M77+M99+M130+M144+M162+M191+M178+M271+M287+M308+M325+M338+M361+M382</f>
        <v>2370725</v>
      </c>
      <c r="N23" s="425">
        <f ca="1">N49+N64+N77+N99+N130+N144+N162+N191+N178+N271+N287+N308+N325+N338+N361+N382</f>
        <v>705564.91</v>
      </c>
      <c r="O23" s="425">
        <f ca="1">IF(L23&gt;0,N23*100/L23,0)</f>
        <v>25.272397773511376</v>
      </c>
      <c r="P23" s="425">
        <f ca="1">IF(M23&gt;0,N23*100/M23,0)</f>
        <v>29.761567031182445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2.75" hidden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2791840</v>
      </c>
      <c r="M40" s="809">
        <f ca="1">M44+M59+M72+M94+M125+M139+M157+M173+M186+M266+M282+M303+M320+M333+M356</f>
        <v>2370725</v>
      </c>
      <c r="N40" s="809">
        <f ca="1">N44+N59+N72+N94+N125+N139+N157+N173+N186+N266+N282+N303+N320+N333+N356</f>
        <v>705564.91</v>
      </c>
      <c r="O40" s="809">
        <f ca="1">IF(L40&gt;0,N40*100/L40,0)</f>
        <v>25.272397773511376</v>
      </c>
      <c r="P40" s="809">
        <f ca="1">IF(M40&gt;0,N40*100/M40,0)</f>
        <v>29.761567031182445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590300</v>
      </c>
      <c r="M44" s="794">
        <f ca="1">M45+M46</f>
        <v>594800</v>
      </c>
      <c r="N44" s="794">
        <f ca="1">N45+N46</f>
        <v>205600</v>
      </c>
      <c r="O44" s="794">
        <f ca="1">IF(L44&gt;0,N44*100/L44,0)</f>
        <v>34.829747585973237</v>
      </c>
      <c r="P44" s="794">
        <f ca="1">IF(M44&gt;0,N44*100/M44,0)</f>
        <v>34.56624075319435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590300</v>
      </c>
      <c r="M46" s="783">
        <f ca="1">M49+M52</f>
        <v>594800</v>
      </c>
      <c r="N46" s="783">
        <f ca="1">N49+N52</f>
        <v>205600</v>
      </c>
      <c r="O46" s="783">
        <f ca="1">IF(L46&gt;0,N46*100/L46,0)</f>
        <v>34.829747585973237</v>
      </c>
      <c r="P46" s="783">
        <f ca="1">IF(M46&gt;0,N46*100/M46,0)</f>
        <v>34.56624075319435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590300</v>
      </c>
      <c r="M47" s="425">
        <f ca="1">M48+M49</f>
        <v>594800</v>
      </c>
      <c r="N47" s="425">
        <f ca="1">N48+N49</f>
        <v>205600</v>
      </c>
      <c r="O47" s="425">
        <f ca="1">IF(L47&gt;0,N47*100/L47,0)</f>
        <v>34.829747585973237</v>
      </c>
      <c r="P47" s="425">
        <f ca="1">IF(M47&gt;0,N47*100/M47,0)</f>
        <v>34.56624075319435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IFERROR(__xludf.DUMMYFUNCTION("IMPORTRANGE(""https://docs.google.com/spreadsheets/d/1-uDff_7J0KD5mKrp0Vvzr7lt3OU09vwQwhkpOPPYv2Y/edit?usp=sharing"",""งบพรบ!P34"")"),590300)</f>
        <v>590300</v>
      </c>
      <c r="M49" s="425">
        <f ca="1">IFERROR(__xludf.DUMMYFUNCTION("IMPORTRANGE(""https://docs.google.com/spreadsheets/d/1-uDff_7J0KD5mKrp0Vvzr7lt3OU09vwQwhkpOPPYv2Y/edit?usp=sharing"",""งบพรบ!V34"")"),594800)</f>
        <v>594800</v>
      </c>
      <c r="N49" s="425">
        <f ca="1">IFERROR(__xludf.DUMMYFUNCTION("IMPORTRANGE(""https://docs.google.com/spreadsheets/d/1-uDff_7J0KD5mKrp0Vvzr7lt3OU09vwQwhkpOPPYv2Y/edit?usp=sharing"",""งบพรบ!Y34"")"),205600)</f>
        <v>205600</v>
      </c>
      <c r="O49" s="425">
        <f ca="1">IF(L49&gt;0,N49*100/L49,0)</f>
        <v>34.829747585973237</v>
      </c>
      <c r="P49" s="425">
        <f ca="1">IF(M49&gt;0,N49*100/M49,0)</f>
        <v>34.56624075319435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IFERROR(__xludf.DUMMYFUNCTION("IMPORTRANGE(""https://docs.google.com/spreadsheets/d/1-uDff_7J0KD5mKrp0Vvzr7lt3OU09vwQwhkpOPPYv2Y/edit?usp=sharing"",""งบพรบ!S34"")"),0)</f>
        <v>0</v>
      </c>
      <c r="M52" s="425">
        <f ca="1">IFERROR(__xludf.DUMMYFUNCTION("IMPORTRANGE(""https://docs.google.com/spreadsheets/d/1-uDff_7J0KD5mKrp0Vvzr7lt3OU09vwQwhkpOPPYv2Y/edit?usp=sharing"",""งบพรบ!W34"")"),0)</f>
        <v>0</v>
      </c>
      <c r="N52" s="425">
        <f ca="1">IFERROR(__xludf.DUMMYFUNCTION("IMPORTRANGE(""https://docs.google.com/spreadsheets/d/1-uDff_7J0KD5mKrp0Vvzr7lt3OU09vwQwhkpOPPYv2Y/edit?usp=sharing"",""งบพรบ!Z34"")"),0)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669500</v>
      </c>
      <c r="M59" s="763">
        <f ca="1">M60+M61</f>
        <v>504300</v>
      </c>
      <c r="N59" s="763">
        <f ca="1">N60+N61</f>
        <v>320607.81</v>
      </c>
      <c r="O59" s="763">
        <f ca="1">IF(L59&gt;0,N59*100/L59,0)</f>
        <v>47.887648991784914</v>
      </c>
      <c r="P59" s="763">
        <f ca="1">IF(M59&gt;0,N59*100/M59,0)</f>
        <v>63.574818560380727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669500</v>
      </c>
      <c r="M61" s="752">
        <f ca="1">M64+M67</f>
        <v>504300</v>
      </c>
      <c r="N61" s="752">
        <f ca="1">N64+N67</f>
        <v>320607.81</v>
      </c>
      <c r="O61" s="752">
        <f ca="1">IF(L61&gt;0,N61*100/L61,0)</f>
        <v>47.887648991784914</v>
      </c>
      <c r="P61" s="752">
        <f ca="1">IF(M61&gt;0,N61*100/M61,0)</f>
        <v>63.574818560380727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669500</v>
      </c>
      <c r="M62" s="425">
        <f ca="1">M63+M64</f>
        <v>504300</v>
      </c>
      <c r="N62" s="425">
        <f ca="1">N63+N64</f>
        <v>320607.81</v>
      </c>
      <c r="O62" s="425">
        <f ca="1">IF(L62&gt;0,N62*100/L62,0)</f>
        <v>47.887648991784914</v>
      </c>
      <c r="P62" s="425">
        <f ca="1">IF(M62&gt;0,N62*100/M62,0)</f>
        <v>63.574818560380727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IFERROR(__xludf.DUMMYFUNCTION("IMPORTRANGE(""https://docs.google.com/spreadsheets/d/1-uDff_7J0KD5mKrp0Vvzr7lt3OU09vwQwhkpOPPYv2Y/edit?usp=sharing"",""งบพรบ!AC34"")"),669500)</f>
        <v>669500</v>
      </c>
      <c r="M64" s="425">
        <f ca="1">IFERROR(__xludf.DUMMYFUNCTION("IMPORTRANGE(""https://docs.google.com/spreadsheets/d/1-uDff_7J0KD5mKrp0Vvzr7lt3OU09vwQwhkpOPPYv2Y/edit?usp=sharing"",""งบพรบ!AH34"")"),504300)</f>
        <v>504300</v>
      </c>
      <c r="N64" s="425">
        <f ca="1">IFERROR(__xludf.DUMMYFUNCTION("IMPORTRANGE(""https://docs.google.com/spreadsheets/d/1-uDff_7J0KD5mKrp0Vvzr7lt3OU09vwQwhkpOPPYv2Y/edit?usp=sharing"",""งบพรบ!AJ34"")"),320607.81)</f>
        <v>320607.81</v>
      </c>
      <c r="O64" s="425">
        <f ca="1">IF(L64&gt;0,N64*100/L64,0)</f>
        <v>47.887648991784914</v>
      </c>
      <c r="P64" s="425">
        <f ca="1">IF(M64&gt;0,N64*100/M64,0)</f>
        <v>63.574818560380727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IFERROR(__xludf.DUMMYFUNCTION("IMPORTRANGE(""https://docs.google.com/spreadsheets/d/1-uDff_7J0KD5mKrp0Vvzr7lt3OU09vwQwhkpOPPYv2Y/edit?usp=sharing"",""งบพรบ!AF34"")"),0)</f>
        <v>0</v>
      </c>
      <c r="M67" s="747">
        <f ca="1">IFERROR(__xludf.DUMMYFUNCTION("IMPORTRANGE(""https://docs.google.com/spreadsheets/d/1-uDff_7J0KD5mKrp0Vvzr7lt3OU09vwQwhkpOPPYv2Y/edit?usp=sharing"",""งบพรบ!AI34"")"),0)</f>
        <v>0</v>
      </c>
      <c r="N67" s="747">
        <f ca="1">IFERROR(__xludf.DUMMYFUNCTION("IMPORTRANGE(""https://docs.google.com/spreadsheets/d/1-uDff_7J0KD5mKrp0Vvzr7lt3OU09vwQwhkpOPPYv2Y/edit?usp=sharing"",""งบพรบ!AK34"")"),0)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19.5" hidden="1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hidden="1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hidden="1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0</v>
      </c>
      <c r="J70" s="705">
        <f>J82</f>
        <v>0</v>
      </c>
      <c r="K70" s="704">
        <f ca="1">IF(I70&gt;0,J70*100/I70,0)</f>
        <v>0</v>
      </c>
      <c r="L70" s="703"/>
      <c r="M70" s="703"/>
      <c r="N70" s="703"/>
      <c r="O70" s="703"/>
      <c r="P70" s="703"/>
    </row>
    <row r="71" spans="1:16" ht="19.5" hidden="1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0</v>
      </c>
      <c r="J71" s="705">
        <f>J83</f>
        <v>0</v>
      </c>
      <c r="K71" s="704">
        <f ca="1">IF(I71&gt;0,J71*100/I71,0)</f>
        <v>0</v>
      </c>
      <c r="L71" s="703"/>
      <c r="M71" s="703"/>
      <c r="N71" s="703"/>
      <c r="O71" s="703"/>
      <c r="P71" s="703"/>
    </row>
    <row r="72" spans="1:16" ht="19.5" hidden="1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0</v>
      </c>
      <c r="M72" s="577">
        <f ca="1">M73+M74</f>
        <v>0</v>
      </c>
      <c r="N72" s="577">
        <f ca="1">N73+N74</f>
        <v>0</v>
      </c>
      <c r="O72" s="577">
        <f ca="1">IF(L72&gt;0,N72*100/L72,0)</f>
        <v>0</v>
      </c>
      <c r="P72" s="577">
        <f ca="1">IF(M72&gt;0,N72*100/M72,0)</f>
        <v>0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hidden="1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hidden="1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IFERROR(__xludf.DUMMYFUNCTION("IMPORTRANGE(""https://docs.google.com/spreadsheets/d/1-uDff_7J0KD5mKrp0Vvzr7lt3OU09vwQwhkpOPPYv2Y/edit?usp=sharing"",""งบพรบ!AM34"")"),0)</f>
        <v>0</v>
      </c>
      <c r="M77" s="425">
        <f ca="1">IFERROR(__xludf.DUMMYFUNCTION("IMPORTRANGE(""https://docs.google.com/spreadsheets/d/1-uDff_7J0KD5mKrp0Vvzr7lt3OU09vwQwhkpOPPYv2Y/edit?usp=sharing"",""งบพรบ!AR34"")"),0)</f>
        <v>0</v>
      </c>
      <c r="N77" s="425">
        <f ca="1">IFERROR(__xludf.DUMMYFUNCTION("IMPORTRANGE(""https://docs.google.com/spreadsheets/d/1-uDff_7J0KD5mKrp0Vvzr7lt3OU09vwQwhkpOPPYv2Y/edit?usp=sharing"",""งบพรบ!AT34"")"),0)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hidden="1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IFERROR(__xludf.DUMMYFUNCTION("IMPORTRANGE(""https://docs.google.com/spreadsheets/d/1-uDff_7J0KD5mKrp0Vvzr7lt3OU09vwQwhkpOPPYv2Y/edit?usp=sharing"",""งบพรบ!AP34"")"),0)</f>
        <v>0</v>
      </c>
      <c r="M80" s="425">
        <f ca="1">IFERROR(__xludf.DUMMYFUNCTION("IMPORTRANGE(""https://docs.google.com/spreadsheets/d/1-uDff_7J0KD5mKrp0Vvzr7lt3OU09vwQwhkpOPPYv2Y/edit?usp=sharing"",""งบพรบ!AS34"")"),0)</f>
        <v>0</v>
      </c>
      <c r="N80" s="425">
        <f ca="1">IFERROR(__xludf.DUMMYFUNCTION("IMPORTRANGE(""https://docs.google.com/spreadsheets/d/1-uDff_7J0KD5mKrp0Vvzr7lt3OU09vwQwhkpOPPYv2Y/edit?usp=sharing"",""งบพรบ!AU34"")"),0)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hidden="1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0</v>
      </c>
      <c r="J82" s="625">
        <f>J84+J86+J88</f>
        <v>0</v>
      </c>
      <c r="K82" s="624">
        <f ca="1">IF(I82&gt;0,J82*100/I82,0)</f>
        <v>0</v>
      </c>
      <c r="L82" s="525"/>
      <c r="M82" s="525"/>
      <c r="N82" s="525"/>
      <c r="O82" s="525"/>
      <c r="P82" s="525"/>
    </row>
    <row r="83" spans="1:16" ht="19.5" hidden="1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0</v>
      </c>
      <c r="J83" s="625">
        <f>J85+J87+J89</f>
        <v>0</v>
      </c>
      <c r="K83" s="624">
        <f ca="1">IF(I83&gt;0,J83*100/I83,0)</f>
        <v>0</v>
      </c>
      <c r="L83" s="525"/>
      <c r="M83" s="525"/>
      <c r="N83" s="525"/>
      <c r="O83" s="525"/>
      <c r="P83" s="525"/>
    </row>
    <row r="84" spans="1:16" ht="18.75" hidden="1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IFERROR(__xludf.DUMMYFUNCTION("IMPORTRANGE(""https://docs.google.com/spreadsheets/d/1eHaY18a8A9IcSdp1K8H6x8fbOy06t2VsZHhMHf-1x7Y/edit?usp=sharing"",""แผน!H34"")"),0)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hidden="1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IFERROR(__xludf.DUMMYFUNCTION("IMPORTRANGE(""https://docs.google.com/spreadsheets/d/1eHaY18a8A9IcSdp1K8H6x8fbOy06t2VsZHhMHf-1x7Y/edit?usp=sharing"",""แผน!I34"")"),0)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hidden="1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IFERROR(__xludf.DUMMYFUNCTION("IMPORTRANGE(""https://docs.google.com/spreadsheets/d/1eHaY18a8A9IcSdp1K8H6x8fbOy06t2VsZHhMHf-1x7Y/edit?usp=sharing"",""แผน!F34"")"),0)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hidden="1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IFERROR(__xludf.DUMMYFUNCTION("IMPORTRANGE(""https://docs.google.com/spreadsheets/d/1eHaY18a8A9IcSdp1K8H6x8fbOy06t2VsZHhMHf-1x7Y/edit?usp=sharing"",""แผน!G34"")"),0)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hidden="1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IFERROR(__xludf.DUMMYFUNCTION("IMPORTRANGE(""https://docs.google.com/spreadsheets/d/1eHaY18a8A9IcSdp1K8H6x8fbOy06t2VsZHhMHf-1x7Y/edit?usp=sharing"",""แผน!D34"")"),0)</f>
        <v>0</v>
      </c>
      <c r="J88" s="595">
        <v>0</v>
      </c>
      <c r="K88" s="621">
        <f ca="1">IF(I88&gt;0,J88*100/I88,0)</f>
        <v>0</v>
      </c>
      <c r="L88" s="525"/>
      <c r="M88" s="525"/>
      <c r="N88" s="525"/>
      <c r="O88" s="525"/>
      <c r="P88" s="525"/>
    </row>
    <row r="89" spans="1:16" ht="18.75" hidden="1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IFERROR(__xludf.DUMMYFUNCTION("IMPORTRANGE(""https://docs.google.com/spreadsheets/d/1eHaY18a8A9IcSdp1K8H6x8fbOy06t2VsZHhMHf-1x7Y/edit?usp=sharing"",""แผน!E34"")"),0)</f>
        <v>0</v>
      </c>
      <c r="J89" s="595">
        <v>0</v>
      </c>
      <c r="K89" s="621">
        <f ca="1">IF(I89&gt;0,J89*100/I89,0)</f>
        <v>0</v>
      </c>
      <c r="L89" s="525"/>
      <c r="M89" s="525"/>
      <c r="N89" s="525"/>
      <c r="O89" s="525"/>
      <c r="P89" s="525"/>
    </row>
    <row r="90" spans="1:16" ht="18.75" hidden="1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IFERROR(__xludf.DUMMYFUNCTION("IMPORTRANGE(""https://docs.google.com/spreadsheets/d/1eHaY18a8A9IcSdp1K8H6x8fbOy06t2VsZHhMHf-1x7Y/edit?usp=sharing"",""แผน!J34"")"),0)</f>
        <v>0</v>
      </c>
      <c r="J90" s="595">
        <v>0</v>
      </c>
      <c r="K90" s="621">
        <f ca="1">IF(I90&gt;0,J90*100/I90,0)</f>
        <v>0</v>
      </c>
      <c r="L90" s="525"/>
      <c r="M90" s="525"/>
      <c r="N90" s="525"/>
      <c r="O90" s="525"/>
      <c r="P90" s="525"/>
    </row>
    <row r="91" spans="1:16" ht="19.5" hidden="1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hidden="1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0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hidden="1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0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hidden="1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0</v>
      </c>
      <c r="M94" s="577">
        <f ca="1">M95+M96</f>
        <v>0</v>
      </c>
      <c r="N94" s="577">
        <f ca="1">N95+N96</f>
        <v>0</v>
      </c>
      <c r="O94" s="577">
        <f ca="1">IF(L94&gt;0,N94*100/L94,0)</f>
        <v>0</v>
      </c>
      <c r="P94" s="577">
        <f ca="1">IF(M94&gt;0,N94*100/M94,0)</f>
        <v>0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hidden="1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hidden="1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IFERROR(__xludf.DUMMYFUNCTION("IMPORTRANGE(""https://docs.google.com/spreadsheets/d/1-uDff_7J0KD5mKrp0Vvzr7lt3OU09vwQwhkpOPPYv2Y/edit?usp=sharing"",""งบพรบ!AW34"")"),0)</f>
        <v>0</v>
      </c>
      <c r="M99" s="425">
        <f ca="1">IFERROR(__xludf.DUMMYFUNCTION("IMPORTRANGE(""https://docs.google.com/spreadsheets/d/1-uDff_7J0KD5mKrp0Vvzr7lt3OU09vwQwhkpOPPYv2Y/edit?usp=sharing"",""งบพรบ!BB34"")"),0)</f>
        <v>0</v>
      </c>
      <c r="N99" s="425">
        <f ca="1">IFERROR(__xludf.DUMMYFUNCTION("IMPORTRANGE(""https://docs.google.com/spreadsheets/d/1-uDff_7J0KD5mKrp0Vvzr7lt3OU09vwQwhkpOPPYv2Y/edit?usp=sharing"",""งบพรบ!BD34"")"),0)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hidden="1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IFERROR(__xludf.DUMMYFUNCTION("IMPORTRANGE(""https://docs.google.com/spreadsheets/d/1-uDff_7J0KD5mKrp0Vvzr7lt3OU09vwQwhkpOPPYv2Y/edit?usp=sharing"",""งบพรบ!AZ34"")"),0)</f>
        <v>0</v>
      </c>
      <c r="M102" s="425">
        <f ca="1">IFERROR(__xludf.DUMMYFUNCTION("IMPORTRANGE(""https://docs.google.com/spreadsheets/d/1-uDff_7J0KD5mKrp0Vvzr7lt3OU09vwQwhkpOPPYv2Y/edit?usp=sharing"",""งบพรบ!BC34"")"),0)</f>
        <v>0</v>
      </c>
      <c r="N102" s="425">
        <f ca="1">IFERROR(__xludf.DUMMYFUNCTION("IMPORTRANGE(""https://docs.google.com/spreadsheets/d/1-uDff_7J0KD5mKrp0Vvzr7lt3OU09vwQwhkpOPPYv2Y/edit?usp=sharing"",""งบพรบ!BE34"")"),0)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hidden="1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hidden="1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IFERROR(__xludf.DUMMYFUNCTION("IMPORTRANGE(""https://docs.google.com/spreadsheets/d/1eHaY18a8A9IcSdp1K8H6x8fbOy06t2VsZHhMHf-1x7Y/edit?usp=sharing"",""แผน!N34"")"),0)</f>
        <v>0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hidden="1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IFERROR(__xludf.DUMMYFUNCTION("IMPORTRANGE(""https://docs.google.com/spreadsheets/d/1eHaY18a8A9IcSdp1K8H6x8fbOy06t2VsZHhMHf-1x7Y/edit?usp=sharing"",""แผน!O34"")"),0)</f>
        <v>0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hidden="1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IFERROR(__xludf.DUMMYFUNCTION("IMPORTRANGE(""https://docs.google.com/spreadsheets/d/1eHaY18a8A9IcSdp1K8H6x8fbOy06t2VsZHhMHf-1x7Y/edit?usp=sharing"",""แผน!R34"")"),0)</f>
        <v>0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IFERROR(__xludf.DUMMYFUNCTION("IMPORTRANGE(""https://docs.google.com/spreadsheets/d/1-uDff_7J0KD5mKrp0Vvzr7lt3OU09vwQwhkpOPPYv2Y/edit?usp=sharing"",""งบพรบ!BG34"")"),0)</f>
        <v>0</v>
      </c>
      <c r="M130" s="723">
        <f ca="1">IFERROR(__xludf.DUMMYFUNCTION("IMPORTRANGE(""https://docs.google.com/spreadsheets/d/1-uDff_7J0KD5mKrp0Vvzr7lt3OU09vwQwhkpOPPYv2Y/edit?usp=sharing"",""งบพรบ!BL34"")"),0)</f>
        <v>0</v>
      </c>
      <c r="N130" s="723">
        <f ca="1">IFERROR(__xludf.DUMMYFUNCTION("IMPORTRANGE(""https://docs.google.com/spreadsheets/d/1-uDff_7J0KD5mKrp0Vvzr7lt3OU09vwQwhkpOPPYv2Y/edit?usp=sharing"",""งบพรบ!BN34"")"),0)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IFERROR(__xludf.DUMMYFUNCTION("IMPORTRANGE(""https://docs.google.com/spreadsheets/d/1-uDff_7J0KD5mKrp0Vvzr7lt3OU09vwQwhkpOPPYv2Y/edit?usp=sharing"",""งบพรบ!BJ34"")"),0)</f>
        <v>0</v>
      </c>
      <c r="M133" s="723">
        <f ca="1">IFERROR(__xludf.DUMMYFUNCTION("IMPORTRANGE(""https://docs.google.com/spreadsheets/d/1-uDff_7J0KD5mKrp0Vvzr7lt3OU09vwQwhkpOPPYv2Y/edit?usp=sharing"",""งบพรบ!BM34"")"),0)</f>
        <v>0</v>
      </c>
      <c r="N133" s="723">
        <f ca="1">IFERROR(__xludf.DUMMYFUNCTION("IMPORTRANGE(""https://docs.google.com/spreadsheets/d/1-uDff_7J0KD5mKrp0Vvzr7lt3OU09vwQwhkpOPPYv2Y/edit?usp=sharing"",""งบพรบ!BO34"")"),0)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hidden="1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hidden="1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hidden="1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0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hidden="1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0</v>
      </c>
      <c r="J137" s="705">
        <f>J152</f>
        <v>0</v>
      </c>
      <c r="K137" s="704">
        <f ca="1">IF(I137&gt;0,J137*100/I137,0)</f>
        <v>0</v>
      </c>
      <c r="L137" s="703"/>
      <c r="M137" s="703"/>
      <c r="N137" s="703"/>
      <c r="O137" s="703"/>
      <c r="P137" s="703"/>
    </row>
    <row r="138" spans="1:16" ht="19.5" hidden="1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0</v>
      </c>
      <c r="J138" s="705">
        <f>J153</f>
        <v>0</v>
      </c>
      <c r="K138" s="704">
        <f ca="1">IF(I138&gt;0,J138*100/I138,0)</f>
        <v>0</v>
      </c>
      <c r="L138" s="703"/>
      <c r="M138" s="703"/>
      <c r="N138" s="703"/>
      <c r="O138" s="703"/>
      <c r="P138" s="703"/>
    </row>
    <row r="139" spans="1:16" ht="19.5" hidden="1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0</v>
      </c>
      <c r="M139" s="577">
        <f ca="1">M140+M141</f>
        <v>0</v>
      </c>
      <c r="N139" s="577">
        <f ca="1">N140+N141</f>
        <v>0</v>
      </c>
      <c r="O139" s="577">
        <f ca="1">IF(L139&gt;0,N139*100/L139,0)</f>
        <v>0</v>
      </c>
      <c r="P139" s="577">
        <f ca="1">IF(M139&gt;0,N139*100/M139,0)</f>
        <v>0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hidden="1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0</v>
      </c>
      <c r="M141" s="425">
        <f ca="1">M144+M147</f>
        <v>0</v>
      </c>
      <c r="N141" s="425">
        <f ca="1">N144+N147</f>
        <v>0</v>
      </c>
      <c r="O141" s="425">
        <f ca="1">IF(L141&gt;0,N141*100/L141,0)</f>
        <v>0</v>
      </c>
      <c r="P141" s="425">
        <f ca="1">IF(M141&gt;0,N141*100/M141,0)</f>
        <v>0</v>
      </c>
    </row>
    <row r="142" spans="1:16" ht="18.75" hidden="1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0</v>
      </c>
      <c r="M142" s="425">
        <f ca="1">M143+M144</f>
        <v>0</v>
      </c>
      <c r="N142" s="425">
        <f ca="1">N143+N144</f>
        <v>0</v>
      </c>
      <c r="O142" s="425">
        <f ca="1">IF(L142&gt;0,N142*100/L142,0)</f>
        <v>0</v>
      </c>
      <c r="P142" s="425">
        <f ca="1">IF(M142&gt;0,N142*100/M142,0)</f>
        <v>0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hidden="1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IFERROR(__xludf.DUMMYFUNCTION("IMPORTRANGE(""https://docs.google.com/spreadsheets/d/1-uDff_7J0KD5mKrp0Vvzr7lt3OU09vwQwhkpOPPYv2Y/edit?usp=sharing"",""งบพรบ!BQ34"")"),0)</f>
        <v>0</v>
      </c>
      <c r="M144" s="425">
        <f ca="1">IFERROR(__xludf.DUMMYFUNCTION("IMPORTRANGE(""https://docs.google.com/spreadsheets/d/1-uDff_7J0KD5mKrp0Vvzr7lt3OU09vwQwhkpOPPYv2Y/edit?usp=sharing"",""งบพรบ!BV34"")"),0)</f>
        <v>0</v>
      </c>
      <c r="N144" s="425">
        <f ca="1">IFERROR(__xludf.DUMMYFUNCTION("IMPORTRANGE(""https://docs.google.com/spreadsheets/d/1-uDff_7J0KD5mKrp0Vvzr7lt3OU09vwQwhkpOPPYv2Y/edit?usp=sharing"",""งบพรบ!BX34"")"),0)</f>
        <v>0</v>
      </c>
      <c r="O144" s="425">
        <f ca="1">IF(L144&gt;0,N144*100/L144,0)</f>
        <v>0</v>
      </c>
      <c r="P144" s="425">
        <f ca="1">IF(M144&gt;0,N144*100/M144,0)</f>
        <v>0</v>
      </c>
    </row>
    <row r="145" spans="1:16" ht="18.75" hidden="1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hidden="1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IFERROR(__xludf.DUMMYFUNCTION("IMPORTRANGE(""https://docs.google.com/spreadsheets/d/1-uDff_7J0KD5mKrp0Vvzr7lt3OU09vwQwhkpOPPYv2Y/edit?usp=sharing"",""งบพรบ!BT34"")"),0)</f>
        <v>0</v>
      </c>
      <c r="M147" s="425">
        <f ca="1">IFERROR(__xludf.DUMMYFUNCTION("IMPORTRANGE(""https://docs.google.com/spreadsheets/d/1-uDff_7J0KD5mKrp0Vvzr7lt3OU09vwQwhkpOPPYv2Y/edit?usp=sharing"",""งบพรบ!BW34"")"),0)</f>
        <v>0</v>
      </c>
      <c r="N147" s="425">
        <f ca="1">IFERROR(__xludf.DUMMYFUNCTION("IMPORTRANGE(""https://docs.google.com/spreadsheets/d/1-uDff_7J0KD5mKrp0Vvzr7lt3OU09vwQwhkpOPPYv2Y/edit?usp=sharing"",""งบพรบ!BY34"")"),0)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hidden="1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hidden="1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hidden="1" x14ac:dyDescent="0.3">
      <c r="A150" s="535"/>
      <c r="B150" s="418"/>
      <c r="C150" s="418"/>
      <c r="D150" s="420"/>
      <c r="E150" s="570" t="s">
        <v>159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IFERROR(__xludf.DUMMYFUNCTION("IMPORTRANGE(""https://docs.google.com/spreadsheets/d/1eHaY18a8A9IcSdp1K8H6x8fbOy06t2VsZHhMHf-1x7Y/edit?usp=sharing"",""แผน!U34"")"),0)</f>
        <v>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hidden="1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IFERROR(__xludf.DUMMYFUNCTION("IMPORTRANGE(""https://docs.google.com/spreadsheets/d/1eHaY18a8A9IcSdp1K8H6x8fbOy06t2VsZHhMHf-1x7Y/edit?usp=sharing"",""แผน!V34"")"),0)</f>
        <v>0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hidden="1" x14ac:dyDescent="0.3">
      <c r="A152" s="535"/>
      <c r="B152" s="418"/>
      <c r="C152" s="418"/>
      <c r="D152" s="420"/>
      <c r="E152" s="570" t="s">
        <v>158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IFERROR(__xludf.DUMMYFUNCTION("IMPORTRANGE(""https://docs.google.com/spreadsheets/d/1eHaY18a8A9IcSdp1K8H6x8fbOy06t2VsZHhMHf-1x7Y/edit?usp=sharing"",""แผน!W34"")"),0)</f>
        <v>0</v>
      </c>
      <c r="J152" s="595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hidden="1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IFERROR(__xludf.DUMMYFUNCTION("IMPORTRANGE(""https://docs.google.com/spreadsheets/d/1eHaY18a8A9IcSdp1K8H6x8fbOy06t2VsZHhMHf-1x7Y/edit?usp=sharing"",""แผน!X34"")"),0)</f>
        <v>0</v>
      </c>
      <c r="J153" s="595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hidden="1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IFERROR(__xludf.DUMMYFUNCTION("IMPORTRANGE(""https://docs.google.com/spreadsheets/d/1eHaY18a8A9IcSdp1K8H6x8fbOy06t2VsZHhMHf-1x7Y/edit?usp=sharing"",""แผน!Y34"")"),0)</f>
        <v>0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hidden="1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hidden="1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I169</f>
        <v>0</v>
      </c>
      <c r="J156" s="705">
        <f>J169</f>
        <v>0</v>
      </c>
      <c r="K156" s="704">
        <f ca="1">IF(I156&gt;0,J156*100/I156,0)</f>
        <v>0</v>
      </c>
      <c r="L156" s="703"/>
      <c r="M156" s="703"/>
      <c r="N156" s="703"/>
      <c r="O156" s="703"/>
      <c r="P156" s="703"/>
    </row>
    <row r="157" spans="1:16" ht="19.5" hidden="1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hidden="1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hidden="1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hidden="1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IFERROR(__xludf.DUMMYFUNCTION("IMPORTRANGE(""https://docs.google.com/spreadsheets/d/1-uDff_7J0KD5mKrp0Vvzr7lt3OU09vwQwhkpOPPYv2Y/edit?usp=sharing"",""งบพรบ!CA34"")"),0)</f>
        <v>0</v>
      </c>
      <c r="M162" s="425">
        <f ca="1">IFERROR(__xludf.DUMMYFUNCTION("IMPORTRANGE(""https://docs.google.com/spreadsheets/d/1-uDff_7J0KD5mKrp0Vvzr7lt3OU09vwQwhkpOPPYv2Y/edit?usp=sharing"",""งบพรบ!CF34"")"),0)</f>
        <v>0</v>
      </c>
      <c r="N162" s="425">
        <f ca="1">IFERROR(__xludf.DUMMYFUNCTION("IMPORTRANGE(""https://docs.google.com/spreadsheets/d/1-uDff_7J0KD5mKrp0Vvzr7lt3OU09vwQwhkpOPPYv2Y/edit?usp=sharing"",""งบพรบ!CH34"")"),0)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hidden="1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hidden="1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IFERROR(__xludf.DUMMYFUNCTION("IMPORTRANGE(""https://docs.google.com/spreadsheets/d/1-uDff_7J0KD5mKrp0Vvzr7lt3OU09vwQwhkpOPPYv2Y/edit?usp=sharing"",""งบพรบ!CD34"")"),0)</f>
        <v>0</v>
      </c>
      <c r="M165" s="425">
        <f ca="1">IFERROR(__xludf.DUMMYFUNCTION("IMPORTRANGE(""https://docs.google.com/spreadsheets/d/1-uDff_7J0KD5mKrp0Vvzr7lt3OU09vwQwhkpOPPYv2Y/edit?usp=sharing"",""งบพรบ!CG34"")"),0)</f>
        <v>0</v>
      </c>
      <c r="N165" s="425">
        <f ca="1">IFERROR(__xludf.DUMMYFUNCTION("IMPORTRANGE(""https://docs.google.com/spreadsheets/d/1-uDff_7J0KD5mKrp0Vvzr7lt3OU09vwQwhkpOPPYv2Y/edit?usp=sharing"",""งบพรบ!CI34"")"),0)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hidden="1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hidden="1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IFERROR(__xludf.DUMMYFUNCTION("IMPORTRANGE(""https://docs.google.com/spreadsheets/d/1eHaY18a8A9IcSdp1K8H6x8fbOy06t2VsZHhMHf-1x7Y/edit?usp=sharing"",""แผน!Z34"")"),0)</f>
        <v>0</v>
      </c>
      <c r="J167" s="595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IFERROR(__xludf.DUMMYFUNCTION("IMPORTRANGE(""https://docs.google.com/spreadsheets/d/1eHaY18a8A9IcSdp1K8H6x8fbOy06t2VsZHhMHf-1x7Y/edit?usp=sharing"",""แผน!Z34"")"),0)</f>
        <v>0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IFERROR(__xludf.DUMMYFUNCTION("IMPORTRANGE(""https://docs.google.com/spreadsheets/d/1eHaY18a8A9IcSdp1K8H6x8fbOy06t2VsZHhMHf-1x7Y/edit?usp=sharing"",""แผน!Z34"")"),0)</f>
        <v>0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7</v>
      </c>
      <c r="J172" s="688">
        <f>J183+J184</f>
        <v>0</v>
      </c>
      <c r="K172" s="687">
        <f ca="1">IF(I172&gt;0,J172*100/I172,0)</f>
        <v>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19590</v>
      </c>
      <c r="M173" s="577">
        <f ca="1">M174+M175</f>
        <v>19590</v>
      </c>
      <c r="N173" s="577">
        <f ca="1">N174+N175</f>
        <v>0</v>
      </c>
      <c r="O173" s="577">
        <f ca="1">IF(L173&gt;0,N173*100/L173,0)</f>
        <v>0</v>
      </c>
      <c r="P173" s="577">
        <f ca="1">IF(M173&gt;0,N173*100/M173,0)</f>
        <v>0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19590</v>
      </c>
      <c r="N175" s="425">
        <f ca="1">N178+N181</f>
        <v>0</v>
      </c>
      <c r="O175" s="425">
        <f ca="1">IF(L175&gt;0,N175*100/L175,0)</f>
        <v>0</v>
      </c>
      <c r="P175" s="425">
        <f ca="1">IF(M175&gt;0,N175*100/M175,0)</f>
        <v>0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19590</v>
      </c>
      <c r="M176" s="425">
        <f ca="1">M177+M178</f>
        <v>19590</v>
      </c>
      <c r="N176" s="425">
        <f ca="1">N177+N178</f>
        <v>0</v>
      </c>
      <c r="O176" s="425">
        <f ca="1">IF(L176&gt;0,N176*100/L176,0)</f>
        <v>0</v>
      </c>
      <c r="P176" s="425">
        <f ca="1">IF(M176&gt;0,N176*100/M176,0)</f>
        <v>0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IFERROR(__xludf.DUMMYFUNCTION("IMPORTRANGE(""https://docs.google.com/spreadsheets/d/1-uDff_7J0KD5mKrp0Vvzr7lt3OU09vwQwhkpOPPYv2Y/edit?usp=sharing"",""งบพรบ!CK34"")"),19590)</f>
        <v>19590</v>
      </c>
      <c r="M178" s="425">
        <f ca="1">IFERROR(__xludf.DUMMYFUNCTION("IMPORTRANGE(""https://docs.google.com/spreadsheets/d/1-uDff_7J0KD5mKrp0Vvzr7lt3OU09vwQwhkpOPPYv2Y/edit?usp=sharing"",""งบพรบ!CP34"")"),19590)</f>
        <v>19590</v>
      </c>
      <c r="N178" s="425">
        <f ca="1">IFERROR(__xludf.DUMMYFUNCTION("IMPORTRANGE(""https://docs.google.com/spreadsheets/d/1-uDff_7J0KD5mKrp0Vvzr7lt3OU09vwQwhkpOPPYv2Y/edit?usp=sharing"",""งบพรบ!CR34"")"),0)</f>
        <v>0</v>
      </c>
      <c r="O178" s="425">
        <f ca="1">IF(L178&gt;0,N178*100/L178,0)</f>
        <v>0</v>
      </c>
      <c r="P178" s="425">
        <f ca="1">IF(M178&gt;0,N178*100/M178,0)</f>
        <v>0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IFERROR(__xludf.DUMMYFUNCTION("IMPORTRANGE(""https://docs.google.com/spreadsheets/d/1-uDff_7J0KD5mKrp0Vvzr7lt3OU09vwQwhkpOPPYv2Y/edit?usp=sharing"",""งบพรบ!CN34"")"),0)</f>
        <v>0</v>
      </c>
      <c r="M181" s="425">
        <f ca="1">IFERROR(__xludf.DUMMYFUNCTION("IMPORTRANGE(""https://docs.google.com/spreadsheets/d/1-uDff_7J0KD5mKrp0Vvzr7lt3OU09vwQwhkpOPPYv2Y/edit?usp=sharing"",""งบพรบ!CQ34"")"),0)</f>
        <v>0</v>
      </c>
      <c r="N181" s="425">
        <f ca="1">IFERROR(__xludf.DUMMYFUNCTION("IMPORTRANGE(""https://docs.google.com/spreadsheets/d/1-uDff_7J0KD5mKrp0Vvzr7lt3OU09vwQwhkpOPPYv2Y/edit?usp=sharing"",""งบพรบ!CS34"")"),0)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IFERROR(__xludf.DUMMYFUNCTION("IMPORTRANGE(""https://docs.google.com/spreadsheets/d/1eHaY18a8A9IcSdp1K8H6x8fbOy06t2VsZHhMHf-1x7Y/edit?usp=sharing"",""แผน!AA34"")"),7)</f>
        <v>7</v>
      </c>
      <c r="J183" s="595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0</v>
      </c>
      <c r="J185" s="688">
        <f>J230+J231</f>
        <v>0</v>
      </c>
      <c r="K185" s="687">
        <f ca="1">IF(I185&gt;0,J185*100/I185,0)</f>
        <v>0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222500</v>
      </c>
      <c r="M186" s="577">
        <f ca="1">M187+M188</f>
        <v>152500</v>
      </c>
      <c r="N186" s="577">
        <f ca="1">N187+N188</f>
        <v>25780</v>
      </c>
      <c r="O186" s="577">
        <f ca="1">IF(L186&gt;0,N186*100/L186,0)</f>
        <v>11.586516853932585</v>
      </c>
      <c r="P186" s="577">
        <f ca="1">IF(M186&gt;0,N186*100/M186,0)</f>
        <v>16.904918032786885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222500</v>
      </c>
      <c r="M188" s="425">
        <f ca="1">M191+M194</f>
        <v>152500</v>
      </c>
      <c r="N188" s="425">
        <f ca="1">N191+N194</f>
        <v>25780</v>
      </c>
      <c r="O188" s="425">
        <f ca="1">IF(L188&gt;0,N188*100/L188,0)</f>
        <v>11.586516853932585</v>
      </c>
      <c r="P188" s="425">
        <f ca="1">IF(M188&gt;0,N188*100/M188,0)</f>
        <v>16.904918032786885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222500</v>
      </c>
      <c r="M189" s="425">
        <f ca="1">M190+M191</f>
        <v>152500</v>
      </c>
      <c r="N189" s="425">
        <f ca="1">N190+N191</f>
        <v>25780</v>
      </c>
      <c r="O189" s="425">
        <f ca="1">IF(L189&gt;0,N189*100/L189,0)</f>
        <v>11.586516853932585</v>
      </c>
      <c r="P189" s="425">
        <f ca="1">IF(M189&gt;0,N189*100/M189,0)</f>
        <v>16.904918032786885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IFERROR(__xludf.DUMMYFUNCTION("IMPORTRANGE(""https://docs.google.com/spreadsheets/d/1-uDff_7J0KD5mKrp0Vvzr7lt3OU09vwQwhkpOPPYv2Y/edit?usp=sharing"",""งบพรบ!CU34"")"),222500)</f>
        <v>222500</v>
      </c>
      <c r="M191" s="425">
        <f ca="1">IFERROR(__xludf.DUMMYFUNCTION("IMPORTRANGE(""https://docs.google.com/spreadsheets/d/1-uDff_7J0KD5mKrp0Vvzr7lt3OU09vwQwhkpOPPYv2Y/edit?usp=sharing"",""งบพรบ!CZ34"")"),152500)</f>
        <v>152500</v>
      </c>
      <c r="N191" s="425">
        <f ca="1">IFERROR(__xludf.DUMMYFUNCTION("IMPORTRANGE(""https://docs.google.com/spreadsheets/d/1-uDff_7J0KD5mKrp0Vvzr7lt3OU09vwQwhkpOPPYv2Y/edit?usp=sharing"",""งบพรบ!DB34"")"),25780)</f>
        <v>25780</v>
      </c>
      <c r="O191" s="425">
        <f ca="1">IF(L191&gt;0,N191*100/L191,0)</f>
        <v>11.586516853932585</v>
      </c>
      <c r="P191" s="425">
        <f ca="1">IF(M191&gt;0,N191*100/M191,0)</f>
        <v>16.904918032786885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IFERROR(__xludf.DUMMYFUNCTION("IMPORTRANGE(""https://docs.google.com/spreadsheets/d/1-uDff_7J0KD5mKrp0Vvzr7lt3OU09vwQwhkpOPPYv2Y/edit?usp=sharing"",""งบพรบ!CX34"")"),0)</f>
        <v>0</v>
      </c>
      <c r="M194" s="425">
        <f ca="1">IFERROR(__xludf.DUMMYFUNCTION("IMPORTRANGE(""https://docs.google.com/spreadsheets/d/1-uDff_7J0KD5mKrp0Vvzr7lt3OU09vwQwhkpOPPYv2Y/edit?usp=sharing"",""งบพรบ!DA34"")"),0)</f>
        <v>0</v>
      </c>
      <c r="N194" s="425">
        <f ca="1">IFERROR(__xludf.DUMMYFUNCTION("IMPORTRANGE(""https://docs.google.com/spreadsheets/d/1-uDff_7J0KD5mKrp0Vvzr7lt3OU09vwQwhkpOPPYv2Y/edit?usp=sharing"",""งบพรบ!DC34"")"),0)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0</v>
      </c>
      <c r="K195" s="439">
        <f ca="1">IF(I195&gt;0,J195*100/I195,0)</f>
        <v>0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IFERROR(__xludf.DUMMYFUNCTION("IMPORTRANGE(""https://docs.google.com/spreadsheets/d/1eHaY18a8A9IcSdp1K8H6x8fbOy06t2VsZHhMHf-1x7Y/edit?usp=sharing"",""แผน!AB34"")"),6000)</f>
        <v>6000</v>
      </c>
      <c r="M196" s="428"/>
      <c r="N196" s="686">
        <v>0</v>
      </c>
      <c r="O196" s="577">
        <f ca="1">IF(L196&gt;0,N196*100/L196,0)</f>
        <v>0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IFERROR(__xludf.DUMMYFUNCTION("IMPORTRANGE(""https://docs.google.com/spreadsheets/d/1eHaY18a8A9IcSdp1K8H6x8fbOy06t2VsZHhMHf-1x7Y/edit?usp=sharing"",""แผน!AE34"")"),4)</f>
        <v>4</v>
      </c>
      <c r="J198" s="595">
        <v>0</v>
      </c>
      <c r="K198" s="425">
        <f ca="1">IF(I198&gt;0,J198*100/I198,0)</f>
        <v>0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2</v>
      </c>
      <c r="J202" s="438">
        <f>J209</f>
        <v>0</v>
      </c>
      <c r="K202" s="439">
        <f ca="1">IF(I202&gt;0,J202*100/I202,0)</f>
        <v>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26000</v>
      </c>
      <c r="M203" s="428"/>
      <c r="N203" s="577">
        <f>N204+N205+N206+N207</f>
        <v>0</v>
      </c>
      <c r="O203" s="577">
        <f ca="1">IF(L203&gt;0,N203*100/L203,0)</f>
        <v>0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2" t="s">
        <v>157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IFERROR(__xludf.DUMMYFUNCTION("IMPORTRANGE(""https://docs.google.com/spreadsheets/d/1eHaY18a8A9IcSdp1K8H6x8fbOy06t2VsZHhMHf-1x7Y/edit?usp=sharing"",""แผน!AG34"")"),2000)</f>
        <v>2000</v>
      </c>
      <c r="M204" s="428"/>
      <c r="N204" s="683">
        <v>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IFERROR(__xludf.DUMMYFUNCTION("IMPORTRANGE(""https://docs.google.com/spreadsheets/d/1eHaY18a8A9IcSdp1K8H6x8fbOy06t2VsZHhMHf-1x7Y/edit?usp=sharing"",""แผน!AH34"")"),0)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IFERROR(__xludf.DUMMYFUNCTION("IMPORTRANGE(""https://docs.google.com/spreadsheets/d/1eHaY18a8A9IcSdp1K8H6x8fbOy06t2VsZHhMHf-1x7Y/edit?usp=sharing"",""แผน!AI34"")"),16000)</f>
        <v>16000</v>
      </c>
      <c r="M206" s="428"/>
      <c r="N206" s="683">
        <v>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IFERROR(__xludf.DUMMYFUNCTION("IMPORTRANGE(""https://docs.google.com/spreadsheets/d/1eHaY18a8A9IcSdp1K8H6x8fbOy06t2VsZHhMHf-1x7Y/edit?usp=sharing"",""แผน!AJ34"")"),8000)</f>
        <v>8000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IFERROR(__xludf.DUMMYFUNCTION("IMPORTRANGE(""https://docs.google.com/spreadsheets/d/1eHaY18a8A9IcSdp1K8H6x8fbOy06t2VsZHhMHf-1x7Y/edit?usp=sharing"",""แผน!AK34"")"),2)</f>
        <v>2</v>
      </c>
      <c r="J209" s="595">
        <v>0</v>
      </c>
      <c r="K209" s="621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IFERROR(__xludf.DUMMYFUNCTION("IMPORTRANGE(""https://docs.google.com/spreadsheets/d/1eHaY18a8A9IcSdp1K8H6x8fbOy06t2VsZHhMHf-1x7Y/edit?usp=sharing"",""แผน!JX34"")"),2)</f>
        <v>2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IFERROR(__xludf.DUMMYFUNCTION("IMPORTRANGE(""https://docs.google.com/spreadsheets/d/1eHaY18a8A9IcSdp1K8H6x8fbOy06t2VsZHhMHf-1x7Y/edit?usp=sharing"",""แผน!JY34"")"),0)</f>
        <v>0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hidden="1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0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hidden="1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hidden="1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IFERROR(__xludf.DUMMYFUNCTION("IMPORTRANGE(""https://docs.google.com/spreadsheets/d/1eHaY18a8A9IcSdp1K8H6x8fbOy06t2VsZHhMHf-1x7Y/edit?usp=sharing"",""แผน!AM34"")"),0)</f>
        <v>0</v>
      </c>
      <c r="M215" s="428"/>
      <c r="N215" s="683">
        <v>0</v>
      </c>
      <c r="O215" s="525"/>
      <c r="P215" s="428"/>
    </row>
    <row r="216" spans="1:16" ht="18.75" hidden="1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IFERROR(__xludf.DUMMYFUNCTION("IMPORTRANGE(""https://docs.google.com/spreadsheets/d/1eHaY18a8A9IcSdp1K8H6x8fbOy06t2VsZHhMHf-1x7Y/edit?usp=sharing"",""แผน!AN34"")"),0)</f>
        <v>0</v>
      </c>
      <c r="M216" s="428"/>
      <c r="N216" s="683">
        <v>0</v>
      </c>
      <c r="O216" s="525"/>
      <c r="P216" s="428"/>
    </row>
    <row r="217" spans="1:16" ht="18.75" hidden="1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IFERROR(__xludf.DUMMYFUNCTION("IMPORTRANGE(""https://docs.google.com/spreadsheets/d/1eHaY18a8A9IcSdp1K8H6x8fbOy06t2VsZHhMHf-1x7Y/edit?usp=sharing"",""แผน!AO34"")"),0)</f>
        <v>0</v>
      </c>
      <c r="M217" s="428"/>
      <c r="N217" s="683">
        <v>0</v>
      </c>
      <c r="O217" s="525"/>
      <c r="P217" s="428"/>
    </row>
    <row r="218" spans="1:16" ht="19.5" hidden="1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hidden="1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IFERROR(__xludf.DUMMYFUNCTION("IMPORTRANGE(""https://docs.google.com/spreadsheets/d/1eHaY18a8A9IcSdp1K8H6x8fbOy06t2VsZHhMHf-1x7Y/edit?usp=sharing"",""แผน!AP34"")"),0)</f>
        <v>0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hidden="1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IFERROR(__xludf.DUMMYFUNCTION("IMPORTRANGE(""https://docs.google.com/spreadsheets/d/1eHaY18a8A9IcSdp1K8H6x8fbOy06t2VsZHhMHf-1x7Y/edit?usp=sharing"",""แผน!AP34"")"),0)</f>
        <v>0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50000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8500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2" t="s">
        <v>156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IFERROR(__xludf.DUMMYFUNCTION("IMPORTRANGE(""https://docs.google.com/spreadsheets/d/1eHaY18a8A9IcSdp1K8H6x8fbOy06t2VsZHhMHf-1x7Y/edit?usp=sharing"",""แผน!AR34"")"),7000)</f>
        <v>7000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IFERROR(__xludf.DUMMYFUNCTION("IMPORTRANGE(""https://docs.google.com/spreadsheets/d/1eHaY18a8A9IcSdp1K8H6x8fbOy06t2VsZHhMHf-1x7Y/edit?usp=sharing"",""แผน!AS34"")"),1500)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IFERROR(__xludf.DUMMYFUNCTION("IMPORTRANGE(""https://docs.google.com/spreadsheets/d/1eHaY18a8A9IcSdp1K8H6x8fbOy06t2VsZHhMHf-1x7Y/edit?usp=sharing"",""แผน!AT34"")"),0)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IFERROR(__xludf.DUMMYFUNCTION("IMPORTRANGE(""https://docs.google.com/spreadsheets/d/1eHaY18a8A9IcSdp1K8H6x8fbOy06t2VsZHhMHf-1x7Y/edit?usp=sharing"",""แผน!AV34"")"),50000)</f>
        <v>50000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IFERROR(__xludf.DUMMYFUNCTION("IMPORTRANGE(""https://docs.google.com/spreadsheets/d/1eHaY18a8A9IcSdp1K8H6x8fbOy06t2VsZHhMHf-1x7Y/edit?usp=sharing"",""แผน!AV34"")"),50000)</f>
        <v>50000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IFERROR(__xludf.DUMMYFUNCTION("IMPORTRANGE(""https://docs.google.com/spreadsheets/d/1eHaY18a8A9IcSdp1K8H6x8fbOy06t2VsZHhMHf-1x7Y/edit?usp=sharing"",""แผน!AU34"")"),0)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432"/>
      <c r="B231" s="434"/>
      <c r="C231" s="682" t="s">
        <v>99</v>
      </c>
      <c r="D231" s="433"/>
      <c r="E231" s="433"/>
      <c r="F231" s="433"/>
      <c r="G231" s="436"/>
      <c r="H231" s="437" t="s">
        <v>33</v>
      </c>
      <c r="I231" s="438">
        <f ca="1">I242+I253</f>
        <v>0</v>
      </c>
      <c r="J231" s="438">
        <f>J242+J253</f>
        <v>0</v>
      </c>
      <c r="K231" s="439">
        <f ca="1">IF(I231&gt;0,J231*100/I231,0)</f>
        <v>0</v>
      </c>
      <c r="L231" s="571"/>
      <c r="M231" s="571"/>
      <c r="N231" s="571"/>
      <c r="O231" s="571"/>
      <c r="P231" s="571"/>
    </row>
    <row r="232" spans="1:16" ht="19.5" hidden="1" x14ac:dyDescent="0.3">
      <c r="A232" s="535"/>
      <c r="B232" s="418"/>
      <c r="C232" s="570" t="s">
        <v>16</v>
      </c>
      <c r="D232" s="579" t="s">
        <v>17</v>
      </c>
      <c r="E232" s="418"/>
      <c r="F232" s="418"/>
      <c r="G232" s="422"/>
      <c r="H232" s="681" t="s">
        <v>12</v>
      </c>
      <c r="I232" s="526"/>
      <c r="J232" s="526"/>
      <c r="K232" s="525"/>
      <c r="L232" s="577">
        <f ca="1">L243+L254</f>
        <v>0</v>
      </c>
      <c r="M232" s="428"/>
      <c r="N232" s="577">
        <f>N243+N254</f>
        <v>0</v>
      </c>
      <c r="O232" s="428"/>
      <c r="P232" s="428"/>
    </row>
    <row r="233" spans="1:16" ht="18.75" hidden="1" x14ac:dyDescent="0.25">
      <c r="A233" s="535"/>
      <c r="B233" s="419"/>
      <c r="C233" s="418"/>
      <c r="D233" s="293" t="s">
        <v>80</v>
      </c>
      <c r="E233" s="418"/>
      <c r="F233" s="418"/>
      <c r="G233" s="422"/>
      <c r="H233" s="576" t="s">
        <v>12</v>
      </c>
      <c r="I233" s="526"/>
      <c r="J233" s="526"/>
      <c r="K233" s="525"/>
      <c r="L233" s="425">
        <f ca="1">L244+L255</f>
        <v>0</v>
      </c>
      <c r="M233" s="428"/>
      <c r="N233" s="425">
        <f>N244+N255</f>
        <v>0</v>
      </c>
      <c r="O233" s="428"/>
      <c r="P233" s="428"/>
    </row>
    <row r="234" spans="1:16" ht="18.75" hidden="1" x14ac:dyDescent="0.25">
      <c r="A234" s="417"/>
      <c r="B234" s="419"/>
      <c r="C234" s="419"/>
      <c r="D234" s="293" t="s">
        <v>82</v>
      </c>
      <c r="E234" s="418"/>
      <c r="F234" s="418"/>
      <c r="G234" s="422"/>
      <c r="H234" s="576" t="s">
        <v>12</v>
      </c>
      <c r="I234" s="427"/>
      <c r="J234" s="427"/>
      <c r="K234" s="428"/>
      <c r="L234" s="425">
        <f ca="1">L245+L256</f>
        <v>0</v>
      </c>
      <c r="M234" s="428"/>
      <c r="N234" s="425">
        <f>N245+N256</f>
        <v>0</v>
      </c>
      <c r="O234" s="428"/>
      <c r="P234" s="428"/>
    </row>
    <row r="235" spans="1:16" ht="18.75" hidden="1" x14ac:dyDescent="0.25">
      <c r="A235" s="417"/>
      <c r="B235" s="419"/>
      <c r="C235" s="419"/>
      <c r="D235" s="293" t="s">
        <v>100</v>
      </c>
      <c r="E235" s="418"/>
      <c r="F235" s="418"/>
      <c r="G235" s="422"/>
      <c r="H235" s="576" t="s">
        <v>12</v>
      </c>
      <c r="I235" s="427"/>
      <c r="J235" s="427"/>
      <c r="K235" s="428"/>
      <c r="L235" s="425">
        <f ca="1">L246+L257</f>
        <v>0</v>
      </c>
      <c r="M235" s="428"/>
      <c r="N235" s="425">
        <f>N246+N257</f>
        <v>0</v>
      </c>
      <c r="O235" s="428"/>
      <c r="P235" s="428"/>
    </row>
    <row r="236" spans="1:16" ht="18.75" hidden="1" x14ac:dyDescent="0.25">
      <c r="A236" s="417"/>
      <c r="B236" s="419"/>
      <c r="C236" s="419"/>
      <c r="D236" s="293" t="s">
        <v>101</v>
      </c>
      <c r="E236" s="418"/>
      <c r="F236" s="418"/>
      <c r="G236" s="422"/>
      <c r="H236" s="576" t="s">
        <v>12</v>
      </c>
      <c r="I236" s="427"/>
      <c r="J236" s="427"/>
      <c r="K236" s="428"/>
      <c r="L236" s="425">
        <f ca="1">L247+L258</f>
        <v>0</v>
      </c>
      <c r="M236" s="428"/>
      <c r="N236" s="425">
        <f>N247+N258</f>
        <v>0</v>
      </c>
      <c r="O236" s="428"/>
      <c r="P236" s="428"/>
    </row>
    <row r="237" spans="1:16" ht="19.5" hidden="1" x14ac:dyDescent="0.3">
      <c r="A237" s="532"/>
      <c r="B237" s="430"/>
      <c r="C237" s="680" t="s">
        <v>16</v>
      </c>
      <c r="D237" s="569" t="s">
        <v>36</v>
      </c>
      <c r="E237" s="529"/>
      <c r="F237" s="529"/>
      <c r="G237" s="528"/>
      <c r="H237" s="527"/>
      <c r="I237" s="526"/>
      <c r="J237" s="427"/>
      <c r="K237" s="428"/>
      <c r="L237" s="428"/>
      <c r="M237" s="428"/>
      <c r="N237" s="428"/>
      <c r="O237" s="525"/>
      <c r="P237" s="525"/>
    </row>
    <row r="238" spans="1:16" ht="18.75" hidden="1" x14ac:dyDescent="0.25">
      <c r="A238" s="532"/>
      <c r="B238" s="430"/>
      <c r="C238" s="430"/>
      <c r="D238" s="421" t="s">
        <v>102</v>
      </c>
      <c r="E238" s="420"/>
      <c r="F238" s="420"/>
      <c r="G238" s="527"/>
      <c r="H238" s="566" t="s">
        <v>33</v>
      </c>
      <c r="I238" s="424">
        <f ca="1">I249+I260</f>
        <v>0</v>
      </c>
      <c r="J238" s="424">
        <f>J249+J260</f>
        <v>0</v>
      </c>
      <c r="K238" s="425">
        <f ca="1">IF(I238&gt;0,J238*100/I238,0)</f>
        <v>0</v>
      </c>
      <c r="L238" s="428"/>
      <c r="M238" s="428"/>
      <c r="N238" s="428"/>
      <c r="O238" s="428"/>
      <c r="P238" s="428"/>
    </row>
    <row r="239" spans="1:16" ht="18.75" hidden="1" x14ac:dyDescent="0.25">
      <c r="A239" s="532"/>
      <c r="B239" s="430"/>
      <c r="C239" s="430"/>
      <c r="D239" s="679" t="s">
        <v>41</v>
      </c>
      <c r="E239" s="420"/>
      <c r="F239" s="420"/>
      <c r="G239" s="527"/>
      <c r="H239" s="527"/>
      <c r="I239" s="427"/>
      <c r="J239" s="427"/>
      <c r="K239" s="428"/>
      <c r="L239" s="428"/>
      <c r="M239" s="428"/>
      <c r="N239" s="428"/>
      <c r="O239" s="525"/>
      <c r="P239" s="525"/>
    </row>
    <row r="240" spans="1:16" ht="18.75" hidden="1" x14ac:dyDescent="0.25">
      <c r="A240" s="532"/>
      <c r="B240" s="430"/>
      <c r="C240" s="430"/>
      <c r="D240" s="430"/>
      <c r="E240" s="567" t="s">
        <v>103</v>
      </c>
      <c r="F240" s="420"/>
      <c r="G240" s="527"/>
      <c r="H240" s="566" t="s">
        <v>33</v>
      </c>
      <c r="I240" s="424">
        <f>I251+I262</f>
        <v>0</v>
      </c>
      <c r="J240" s="424">
        <f>J251+J262</f>
        <v>0</v>
      </c>
      <c r="K240" s="425">
        <f>IF(I240&gt;0,J240*100/I240,0)</f>
        <v>0</v>
      </c>
      <c r="L240" s="428"/>
      <c r="M240" s="428"/>
      <c r="N240" s="428"/>
      <c r="O240" s="428"/>
      <c r="P240" s="428"/>
    </row>
    <row r="241" spans="1:16" ht="18.75" hidden="1" x14ac:dyDescent="0.25">
      <c r="A241" s="532"/>
      <c r="B241" s="430"/>
      <c r="C241" s="430"/>
      <c r="D241" s="430"/>
      <c r="E241" s="567" t="s">
        <v>104</v>
      </c>
      <c r="F241" s="420"/>
      <c r="G241" s="527"/>
      <c r="H241" s="566" t="s">
        <v>54</v>
      </c>
      <c r="I241" s="424">
        <f>I252+I263</f>
        <v>0</v>
      </c>
      <c r="J241" s="424">
        <f>J252+J263</f>
        <v>0</v>
      </c>
      <c r="K241" s="425">
        <f>IF(I241&gt;0,J241*100/I241,0)</f>
        <v>0</v>
      </c>
      <c r="L241" s="428"/>
      <c r="M241" s="428"/>
      <c r="N241" s="428"/>
      <c r="O241" s="428"/>
      <c r="P241" s="428"/>
    </row>
    <row r="242" spans="1:16" ht="19.5" hidden="1" x14ac:dyDescent="0.3">
      <c r="A242" s="432"/>
      <c r="B242" s="434"/>
      <c r="C242" s="678" t="s">
        <v>105</v>
      </c>
      <c r="D242" s="433"/>
      <c r="E242" s="433"/>
      <c r="F242" s="433"/>
      <c r="G242" s="436"/>
      <c r="H242" s="677" t="s">
        <v>33</v>
      </c>
      <c r="I242" s="676">
        <f ca="1">I249</f>
        <v>0</v>
      </c>
      <c r="J242" s="676">
        <f>J249</f>
        <v>0</v>
      </c>
      <c r="K242" s="675">
        <f ca="1">IF(I242&gt;0,J242*100/I242,0)</f>
        <v>0</v>
      </c>
      <c r="L242" s="571"/>
      <c r="M242" s="571"/>
      <c r="N242" s="571"/>
      <c r="O242" s="571"/>
      <c r="P242" s="571"/>
    </row>
    <row r="243" spans="1:16" ht="19.5" hidden="1" x14ac:dyDescent="0.3">
      <c r="A243" s="535"/>
      <c r="B243" s="418"/>
      <c r="C243" s="531" t="s">
        <v>16</v>
      </c>
      <c r="D243" s="541" t="s">
        <v>17</v>
      </c>
      <c r="E243" s="418"/>
      <c r="F243" s="418"/>
      <c r="G243" s="422"/>
      <c r="H243" s="673" t="s">
        <v>12</v>
      </c>
      <c r="I243" s="526"/>
      <c r="J243" s="526"/>
      <c r="K243" s="525"/>
      <c r="L243" s="539">
        <f ca="1">L244+L245+L246+L247</f>
        <v>0</v>
      </c>
      <c r="M243" s="428"/>
      <c r="N243" s="539">
        <f>N244+N245+N246+N247</f>
        <v>0</v>
      </c>
      <c r="O243" s="539">
        <f ca="1">IF(L243&gt;0,N243*100/L243,0)</f>
        <v>0</v>
      </c>
      <c r="P243" s="539">
        <f>IF(M243&gt;0,N243*100/M243,0)</f>
        <v>0</v>
      </c>
    </row>
    <row r="244" spans="1:16" ht="18.75" hidden="1" x14ac:dyDescent="0.25">
      <c r="A244" s="535"/>
      <c r="B244" s="419"/>
      <c r="C244" s="418"/>
      <c r="D244" s="534" t="s">
        <v>80</v>
      </c>
      <c r="E244" s="418"/>
      <c r="F244" s="418"/>
      <c r="G244" s="422"/>
      <c r="H244" s="536" t="s">
        <v>12</v>
      </c>
      <c r="I244" s="526"/>
      <c r="J244" s="526"/>
      <c r="K244" s="525"/>
      <c r="L244" s="521">
        <f ca="1">IFERROR(__xludf.DUMMYFUNCTION("IMPORTRANGE(""https://docs.google.com/spreadsheets/d/1eHaY18a8A9IcSdp1K8H6x8fbOy06t2VsZHhMHf-1x7Y/edit?usp=sharing"",""แผน!AX34"")"),0)</f>
        <v>0</v>
      </c>
      <c r="M244" s="428"/>
      <c r="N244" s="672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34" t="s">
        <v>82</v>
      </c>
      <c r="E245" s="418"/>
      <c r="F245" s="418"/>
      <c r="G245" s="422"/>
      <c r="H245" s="536" t="s">
        <v>12</v>
      </c>
      <c r="I245" s="427"/>
      <c r="J245" s="427"/>
      <c r="K245" s="428"/>
      <c r="L245" s="521">
        <f ca="1">IFERROR(__xludf.DUMMYFUNCTION("IMPORTRANGE(""https://docs.google.com/spreadsheets/d/1eHaY18a8A9IcSdp1K8H6x8fbOy06t2VsZHhMHf-1x7Y/edit?usp=sharing"",""แผน!AY34"")"),0)</f>
        <v>0</v>
      </c>
      <c r="M245" s="428"/>
      <c r="N245" s="672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34" t="s">
        <v>100</v>
      </c>
      <c r="E246" s="418"/>
      <c r="F246" s="418"/>
      <c r="G246" s="422"/>
      <c r="H246" s="536" t="s">
        <v>12</v>
      </c>
      <c r="I246" s="427"/>
      <c r="J246" s="427"/>
      <c r="K246" s="428"/>
      <c r="L246" s="521">
        <f ca="1">IFERROR(__xludf.DUMMYFUNCTION("IMPORTRANGE(""https://docs.google.com/spreadsheets/d/1eHaY18a8A9IcSdp1K8H6x8fbOy06t2VsZHhMHf-1x7Y/edit?usp=sharing"",""แผน!AZ34"")"),0)</f>
        <v>0</v>
      </c>
      <c r="M246" s="428"/>
      <c r="N246" s="672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34" t="s">
        <v>101</v>
      </c>
      <c r="E247" s="418"/>
      <c r="F247" s="418"/>
      <c r="G247" s="422"/>
      <c r="H247" s="536" t="s">
        <v>12</v>
      </c>
      <c r="I247" s="427"/>
      <c r="J247" s="427"/>
      <c r="K247" s="428"/>
      <c r="L247" s="521">
        <f ca="1">IFERROR(__xludf.DUMMYFUNCTION("IMPORTRANGE(""https://docs.google.com/spreadsheets/d/1eHaY18a8A9IcSdp1K8H6x8fbOy06t2VsZHhMHf-1x7Y/edit?usp=sharing"",""แผน!BA34"")"),0)</f>
        <v>0</v>
      </c>
      <c r="M247" s="428"/>
      <c r="N247" s="672">
        <v>0</v>
      </c>
      <c r="O247" s="428"/>
      <c r="P247" s="428"/>
    </row>
    <row r="248" spans="1:16" ht="19.5" hidden="1" x14ac:dyDescent="0.3">
      <c r="A248" s="532"/>
      <c r="B248" s="430"/>
      <c r="C248" s="671" t="s">
        <v>16</v>
      </c>
      <c r="D248" s="530" t="s">
        <v>36</v>
      </c>
      <c r="E248" s="529"/>
      <c r="F248" s="529"/>
      <c r="G248" s="528"/>
      <c r="H248" s="527"/>
      <c r="I248" s="526"/>
      <c r="J248" s="427"/>
      <c r="K248" s="428"/>
      <c r="L248" s="428"/>
      <c r="M248" s="428"/>
      <c r="N248" s="428"/>
      <c r="O248" s="525"/>
      <c r="P248" s="525"/>
    </row>
    <row r="249" spans="1:16" ht="18.75" hidden="1" x14ac:dyDescent="0.25">
      <c r="A249" s="532"/>
      <c r="B249" s="430"/>
      <c r="C249" s="430"/>
      <c r="D249" s="524" t="s">
        <v>102</v>
      </c>
      <c r="E249" s="420"/>
      <c r="F249" s="420"/>
      <c r="G249" s="527"/>
      <c r="H249" s="668" t="s">
        <v>33</v>
      </c>
      <c r="I249" s="199">
        <f ca="1">IFERROR(__xludf.DUMMYFUNCTION("IMPORTRANGE(""https://docs.google.com/spreadsheets/d/1eHaY18a8A9IcSdp1K8H6x8fbOy06t2VsZHhMHf-1x7Y/edit?usp=sharing"",""แผน!BG34"")"),0)</f>
        <v>0</v>
      </c>
      <c r="J249" s="522">
        <v>0</v>
      </c>
      <c r="K249" s="521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2"/>
      <c r="B250" s="430"/>
      <c r="C250" s="430"/>
      <c r="D250" s="670" t="s">
        <v>41</v>
      </c>
      <c r="E250" s="420"/>
      <c r="F250" s="420"/>
      <c r="G250" s="527"/>
      <c r="H250" s="527"/>
      <c r="I250" s="427"/>
      <c r="J250" s="427"/>
      <c r="K250" s="428"/>
      <c r="L250" s="428"/>
      <c r="M250" s="428"/>
      <c r="N250" s="428"/>
      <c r="O250" s="525"/>
      <c r="P250" s="525"/>
    </row>
    <row r="251" spans="1:16" ht="18.75" hidden="1" x14ac:dyDescent="0.25">
      <c r="A251" s="532"/>
      <c r="B251" s="430"/>
      <c r="C251" s="430"/>
      <c r="D251" s="430"/>
      <c r="E251" s="669" t="s">
        <v>103</v>
      </c>
      <c r="F251" s="420"/>
      <c r="G251" s="527"/>
      <c r="H251" s="668" t="s">
        <v>33</v>
      </c>
      <c r="I251" s="199">
        <v>0</v>
      </c>
      <c r="J251" s="522">
        <v>0</v>
      </c>
      <c r="K251" s="521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2"/>
      <c r="B252" s="430"/>
      <c r="C252" s="430"/>
      <c r="D252" s="430"/>
      <c r="E252" s="669" t="s">
        <v>104</v>
      </c>
      <c r="F252" s="420"/>
      <c r="G252" s="527"/>
      <c r="H252" s="668" t="s">
        <v>54</v>
      </c>
      <c r="I252" s="199">
        <v>0</v>
      </c>
      <c r="J252" s="522">
        <v>0</v>
      </c>
      <c r="K252" s="521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78" t="s">
        <v>106</v>
      </c>
      <c r="D253" s="433"/>
      <c r="E253" s="433"/>
      <c r="F253" s="433"/>
      <c r="G253" s="436"/>
      <c r="H253" s="677" t="s">
        <v>33</v>
      </c>
      <c r="I253" s="676">
        <f ca="1">I260</f>
        <v>0</v>
      </c>
      <c r="J253" s="676">
        <f>J260</f>
        <v>0</v>
      </c>
      <c r="K253" s="675">
        <f ca="1">IF(I253&gt;0,J253*100/I253,0)</f>
        <v>0</v>
      </c>
      <c r="L253" s="571"/>
      <c r="M253" s="571"/>
      <c r="N253" s="571"/>
      <c r="O253" s="571"/>
      <c r="P253" s="571"/>
    </row>
    <row r="254" spans="1:16" ht="19.5" hidden="1" x14ac:dyDescent="0.3">
      <c r="A254" s="535"/>
      <c r="B254" s="418"/>
      <c r="C254" s="531" t="s">
        <v>16</v>
      </c>
      <c r="D254" s="674" t="s">
        <v>17</v>
      </c>
      <c r="E254" s="418"/>
      <c r="F254" s="418"/>
      <c r="G254" s="422"/>
      <c r="H254" s="673" t="s">
        <v>12</v>
      </c>
      <c r="I254" s="526"/>
      <c r="J254" s="526"/>
      <c r="K254" s="525"/>
      <c r="L254" s="539">
        <f ca="1">L255+L256+L257+L258</f>
        <v>0</v>
      </c>
      <c r="M254" s="428"/>
      <c r="N254" s="539">
        <f>N255+N256+N257+N258</f>
        <v>0</v>
      </c>
      <c r="O254" s="539">
        <f ca="1">IF(L254&gt;0,N254*100/L254,0)</f>
        <v>0</v>
      </c>
      <c r="P254" s="539">
        <f>IF(M254&gt;0,N254*100/M254,0)</f>
        <v>0</v>
      </c>
    </row>
    <row r="255" spans="1:16" ht="18.75" hidden="1" x14ac:dyDescent="0.25">
      <c r="A255" s="535"/>
      <c r="B255" s="419"/>
      <c r="C255" s="418"/>
      <c r="D255" s="534" t="s">
        <v>80</v>
      </c>
      <c r="E255" s="418"/>
      <c r="F255" s="418"/>
      <c r="G255" s="422"/>
      <c r="H255" s="536" t="s">
        <v>12</v>
      </c>
      <c r="I255" s="526"/>
      <c r="J255" s="526"/>
      <c r="K255" s="525"/>
      <c r="L255" s="521">
        <f ca="1">IFERROR(__xludf.DUMMYFUNCTION("IMPORTRANGE(""https://docs.google.com/spreadsheets/d/1eHaY18a8A9IcSdp1K8H6x8fbOy06t2VsZHhMHf-1x7Y/edit?usp=sharing"",""แผน!BB34"")"),0)</f>
        <v>0</v>
      </c>
      <c r="M255" s="428"/>
      <c r="N255" s="672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34" t="s">
        <v>82</v>
      </c>
      <c r="E256" s="418"/>
      <c r="F256" s="418"/>
      <c r="G256" s="422"/>
      <c r="H256" s="536" t="s">
        <v>12</v>
      </c>
      <c r="I256" s="427"/>
      <c r="J256" s="427"/>
      <c r="K256" s="428"/>
      <c r="L256" s="521">
        <f ca="1">IFERROR(__xludf.DUMMYFUNCTION("IMPORTRANGE(""https://docs.google.com/spreadsheets/d/1eHaY18a8A9IcSdp1K8H6x8fbOy06t2VsZHhMHf-1x7Y/edit?usp=sharing"",""แผน!BC34"")"),0)</f>
        <v>0</v>
      </c>
      <c r="M256" s="428"/>
      <c r="N256" s="672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34" t="s">
        <v>100</v>
      </c>
      <c r="E257" s="418"/>
      <c r="F257" s="418"/>
      <c r="G257" s="422"/>
      <c r="H257" s="536" t="s">
        <v>12</v>
      </c>
      <c r="I257" s="427"/>
      <c r="J257" s="427"/>
      <c r="K257" s="428"/>
      <c r="L257" s="521">
        <f ca="1">IFERROR(__xludf.DUMMYFUNCTION("IMPORTRANGE(""https://docs.google.com/spreadsheets/d/1eHaY18a8A9IcSdp1K8H6x8fbOy06t2VsZHhMHf-1x7Y/edit?usp=sharing"",""แผน!BD34"")"),0)</f>
        <v>0</v>
      </c>
      <c r="M257" s="428"/>
      <c r="N257" s="672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34" t="s">
        <v>101</v>
      </c>
      <c r="E258" s="418"/>
      <c r="F258" s="418"/>
      <c r="G258" s="422"/>
      <c r="H258" s="536" t="s">
        <v>12</v>
      </c>
      <c r="I258" s="427"/>
      <c r="J258" s="427"/>
      <c r="K258" s="428"/>
      <c r="L258" s="521">
        <f ca="1">IFERROR(__xludf.DUMMYFUNCTION("IMPORTRANGE(""https://docs.google.com/spreadsheets/d/1eHaY18a8A9IcSdp1K8H6x8fbOy06t2VsZHhMHf-1x7Y/edit?usp=sharing"",""แผน!BE34"")"),0)</f>
        <v>0</v>
      </c>
      <c r="M258" s="428"/>
      <c r="N258" s="672">
        <v>0</v>
      </c>
      <c r="O258" s="428"/>
      <c r="P258" s="428"/>
    </row>
    <row r="259" spans="1:16" ht="19.5" hidden="1" x14ac:dyDescent="0.3">
      <c r="A259" s="532"/>
      <c r="B259" s="430"/>
      <c r="C259" s="671" t="s">
        <v>16</v>
      </c>
      <c r="D259" s="530" t="s">
        <v>36</v>
      </c>
      <c r="E259" s="529"/>
      <c r="F259" s="529"/>
      <c r="G259" s="528"/>
      <c r="H259" s="527"/>
      <c r="I259" s="526"/>
      <c r="J259" s="427"/>
      <c r="K259" s="428"/>
      <c r="L259" s="428"/>
      <c r="M259" s="428"/>
      <c r="N259" s="428"/>
      <c r="O259" s="525"/>
      <c r="P259" s="525"/>
    </row>
    <row r="260" spans="1:16" ht="18.75" hidden="1" x14ac:dyDescent="0.25">
      <c r="A260" s="532"/>
      <c r="B260" s="430"/>
      <c r="C260" s="430"/>
      <c r="D260" s="524" t="s">
        <v>102</v>
      </c>
      <c r="E260" s="420"/>
      <c r="F260" s="420"/>
      <c r="G260" s="527"/>
      <c r="H260" s="668" t="s">
        <v>33</v>
      </c>
      <c r="I260" s="199">
        <f ca="1">IFERROR(__xludf.DUMMYFUNCTION("IMPORTRANGE(""https://docs.google.com/spreadsheets/d/1eHaY18a8A9IcSdp1K8H6x8fbOy06t2VsZHhMHf-1x7Y/edit?usp=sharing"",""แผน!BH34"")"),0)</f>
        <v>0</v>
      </c>
      <c r="J260" s="522">
        <v>0</v>
      </c>
      <c r="K260" s="521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2"/>
      <c r="B261" s="430"/>
      <c r="C261" s="430"/>
      <c r="D261" s="670" t="s">
        <v>41</v>
      </c>
      <c r="E261" s="420"/>
      <c r="F261" s="420"/>
      <c r="G261" s="527"/>
      <c r="H261" s="527"/>
      <c r="I261" s="427"/>
      <c r="J261" s="427"/>
      <c r="K261" s="428"/>
      <c r="L261" s="428"/>
      <c r="M261" s="428"/>
      <c r="N261" s="428"/>
      <c r="O261" s="525"/>
      <c r="P261" s="525"/>
    </row>
    <row r="262" spans="1:16" ht="18.75" hidden="1" x14ac:dyDescent="0.25">
      <c r="A262" s="532"/>
      <c r="B262" s="430"/>
      <c r="C262" s="430"/>
      <c r="D262" s="430"/>
      <c r="E262" s="669" t="s">
        <v>103</v>
      </c>
      <c r="F262" s="420"/>
      <c r="G262" s="527"/>
      <c r="H262" s="668" t="s">
        <v>33</v>
      </c>
      <c r="I262" s="427"/>
      <c r="J262" s="522">
        <v>0</v>
      </c>
      <c r="K262" s="521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2"/>
      <c r="B263" s="430"/>
      <c r="C263" s="430"/>
      <c r="D263" s="430"/>
      <c r="E263" s="669" t="s">
        <v>104</v>
      </c>
      <c r="F263" s="420"/>
      <c r="G263" s="527"/>
      <c r="H263" s="668" t="s">
        <v>54</v>
      </c>
      <c r="I263" s="427"/>
      <c r="J263" s="522">
        <v>0</v>
      </c>
      <c r="K263" s="521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IFERROR(__xludf.DUMMYFUNCTION("IMPORTRANGE(""https://docs.google.com/spreadsheets/d/1-uDff_7J0KD5mKrp0Vvzr7lt3OU09vwQwhkpOPPYv2Y/edit?usp=sharing"",""งบพรบ!DE34"")"),0)</f>
        <v>0</v>
      </c>
      <c r="M271" s="521">
        <f ca="1">IFERROR(__xludf.DUMMYFUNCTION("IMPORTRANGE(""https://docs.google.com/spreadsheets/d/1-uDff_7J0KD5mKrp0Vvzr7lt3OU09vwQwhkpOPPYv2Y/edit?usp=sharing"",""งบพรบ!DJ34"")"),0)</f>
        <v>0</v>
      </c>
      <c r="N271" s="521">
        <f ca="1">IFERROR(__xludf.DUMMYFUNCTION("IMPORTRANGE(""https://docs.google.com/spreadsheets/d/1-uDff_7J0KD5mKrp0Vvzr7lt3OU09vwQwhkpOPPYv2Y/edit?usp=sharing"",""งบพรบ!DL34"")"),0)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IFERROR(__xludf.DUMMYFUNCTION("IMPORTRANGE(""https://docs.google.com/spreadsheets/d/1-uDff_7J0KD5mKrp0Vvzr7lt3OU09vwQwhkpOPPYv2Y/edit?usp=sharing"",""งบพรบ!DH34"")"),0)</f>
        <v>0</v>
      </c>
      <c r="M274" s="521">
        <f ca="1">IFERROR(__xludf.DUMMYFUNCTION("IMPORTRANGE(""https://docs.google.com/spreadsheets/d/1-uDff_7J0KD5mKrp0Vvzr7lt3OU09vwQwhkpOPPYv2Y/edit?usp=sharing"",""งบพรบ!DK34"")"),0)</f>
        <v>0</v>
      </c>
      <c r="N274" s="521">
        <f ca="1">IFERROR(__xludf.DUMMYFUNCTION("IMPORTRANGE(""https://docs.google.com/spreadsheets/d/1-uDff_7J0KD5mKrp0Vvzr7lt3OU09vwQwhkpOPPYv2Y/edit?usp=sharing"",""งบพรบ!DM34"")"),0)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70</v>
      </c>
      <c r="J280" s="629">
        <f>J293</f>
        <v>0</v>
      </c>
      <c r="K280" s="628">
        <f ca="1">IF(I280&gt;0,J280*100/I280,0)</f>
        <v>0</v>
      </c>
      <c r="L280" s="627"/>
      <c r="M280" s="627"/>
      <c r="N280" s="627"/>
      <c r="O280" s="627"/>
      <c r="P280" s="627"/>
    </row>
    <row r="281" spans="1:16" ht="19.5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700</v>
      </c>
      <c r="J281" s="629">
        <f>J292</f>
        <v>0</v>
      </c>
      <c r="K281" s="628">
        <f ca="1">IF(I281&gt;0,J281*100/I281,0)</f>
        <v>0</v>
      </c>
      <c r="L281" s="627"/>
      <c r="M281" s="627"/>
      <c r="N281" s="627"/>
      <c r="O281" s="627"/>
      <c r="P281" s="627"/>
    </row>
    <row r="282" spans="1:16" ht="19.5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226520</v>
      </c>
      <c r="M282" s="577">
        <f ca="1">M283+M284</f>
        <v>191480</v>
      </c>
      <c r="N282" s="577">
        <f ca="1">N283+N284</f>
        <v>11736</v>
      </c>
      <c r="O282" s="577">
        <f ca="1">IF(L282&gt;0,N282*100/L282,0)</f>
        <v>5.1809994702454532</v>
      </c>
      <c r="P282" s="577">
        <f ca="1">IF(M282&gt;0,N282*100/M282,0)</f>
        <v>6.1290996448715269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226520</v>
      </c>
      <c r="M284" s="425">
        <f ca="1">M287+M290</f>
        <v>191480</v>
      </c>
      <c r="N284" s="425">
        <f ca="1">N287+N290</f>
        <v>11736</v>
      </c>
      <c r="O284" s="425">
        <f ca="1">IF(L284&gt;0,N284*100/L284,0)</f>
        <v>5.1809994702454532</v>
      </c>
      <c r="P284" s="425">
        <f ca="1">IF(M284&gt;0,N284*100/M284,0)</f>
        <v>6.1290996448715269</v>
      </c>
    </row>
    <row r="285" spans="1:16" ht="18.75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226520</v>
      </c>
      <c r="M285" s="425">
        <f ca="1">M286+M287</f>
        <v>191480</v>
      </c>
      <c r="N285" s="425">
        <f ca="1">N286+N287</f>
        <v>11736</v>
      </c>
      <c r="O285" s="425">
        <f ca="1">IF(L285&gt;0,N285*100/L285,0)</f>
        <v>5.1809994702454532</v>
      </c>
      <c r="P285" s="425">
        <f ca="1">IF(M285&gt;0,N285*100/M285,0)</f>
        <v>6.1290996448715269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hidden="1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IFERROR(__xludf.DUMMYFUNCTION("IMPORTRANGE(""https://docs.google.com/spreadsheets/d/1-uDff_7J0KD5mKrp0Vvzr7lt3OU09vwQwhkpOPPYv2Y/edit?usp=sharing"",""งบพรบ!DO34"")"),226520)</f>
        <v>226520</v>
      </c>
      <c r="M287" s="425">
        <f ca="1">IFERROR(__xludf.DUMMYFUNCTION("IMPORTRANGE(""https://docs.google.com/spreadsheets/d/1-uDff_7J0KD5mKrp0Vvzr7lt3OU09vwQwhkpOPPYv2Y/edit?usp=sharing"",""งบพรบ!DT34"")"),191480)</f>
        <v>191480</v>
      </c>
      <c r="N287" s="425">
        <f ca="1">IFERROR(__xludf.DUMMYFUNCTION("IMPORTRANGE(""https://docs.google.com/spreadsheets/d/1-uDff_7J0KD5mKrp0Vvzr7lt3OU09vwQwhkpOPPYv2Y/edit?usp=sharing"",""งบพรบ!DV34"")"),11736)</f>
        <v>11736</v>
      </c>
      <c r="O287" s="425">
        <f ca="1">IF(L287&gt;0,N287*100/L287,0)</f>
        <v>5.1809994702454532</v>
      </c>
      <c r="P287" s="425">
        <f ca="1">IF(M287&gt;0,N287*100/M287,0)</f>
        <v>6.1290996448715269</v>
      </c>
    </row>
    <row r="288" spans="1:16" ht="18.75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hidden="1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IFERROR(__xludf.DUMMYFUNCTION("IMPORTRANGE(""https://docs.google.com/spreadsheets/d/1-uDff_7J0KD5mKrp0Vvzr7lt3OU09vwQwhkpOPPYv2Y/edit?usp=sharing"",""งบพรบ!DR34"")"),0)</f>
        <v>0</v>
      </c>
      <c r="M290" s="425">
        <f ca="1">IFERROR(__xludf.DUMMYFUNCTION("IMPORTRANGE(""https://docs.google.com/spreadsheets/d/1-uDff_7J0KD5mKrp0Vvzr7lt3OU09vwQwhkpOPPYv2Y/edit?usp=sharing"",""งบพรบ!DU34"")"),0)</f>
        <v>0</v>
      </c>
      <c r="N290" s="425">
        <f ca="1">IFERROR(__xludf.DUMMYFUNCTION("IMPORTRANGE(""https://docs.google.com/spreadsheets/d/1-uDff_7J0KD5mKrp0Vvzr7lt3OU09vwQwhkpOPPYv2Y/edit?usp=sharing"",""งบพรบ!DW34"")"),0)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IFERROR(__xludf.DUMMYFUNCTION("IMPORTRANGE(""https://docs.google.com/spreadsheets/d/1eHaY18a8A9IcSdp1K8H6x8fbOy06t2VsZHhMHf-1x7Y/edit?usp=sharing"",""แผน!EE34"")"),700)</f>
        <v>700</v>
      </c>
      <c r="J292" s="595">
        <v>0</v>
      </c>
      <c r="K292" s="621">
        <f ca="1">IF(I292&gt;0,J292*100/I292,0)</f>
        <v>0</v>
      </c>
      <c r="L292" s="525"/>
      <c r="M292" s="525"/>
      <c r="N292" s="525"/>
      <c r="O292" s="525"/>
      <c r="P292" s="525"/>
    </row>
    <row r="293" spans="1:16" ht="19.5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IFERROR(__xludf.DUMMYFUNCTION("IMPORTRANGE(""https://docs.google.com/spreadsheets/d/1eHaY18a8A9IcSdp1K8H6x8fbOy06t2VsZHhMHf-1x7Y/edit?usp=sharing"",""แผน!ED34"")"),70)</f>
        <v>70</v>
      </c>
      <c r="J293" s="625">
        <f>J296</f>
        <v>0</v>
      </c>
      <c r="K293" s="624">
        <f ca="1">IF(I293&gt;0,J293*100/I293,0)</f>
        <v>0</v>
      </c>
      <c r="L293" s="525"/>
      <c r="M293" s="525"/>
      <c r="N293" s="525"/>
      <c r="O293" s="525"/>
      <c r="P293" s="525"/>
    </row>
    <row r="294" spans="1:16" ht="19.5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IFERROR(__xludf.DUMMYFUNCTION("IMPORTRANGE(""https://docs.google.com/spreadsheets/d/1eHaY18a8A9IcSdp1K8H6x8fbOy06t2VsZHhMHf-1x7Y/edit?usp=sharing"",""แผน!ED34"")"),70)</f>
        <v>70</v>
      </c>
      <c r="J295" s="595">
        <v>0</v>
      </c>
      <c r="K295" s="621">
        <f ca="1">IF(I295&gt;0,J295*100/I295,0)</f>
        <v>0</v>
      </c>
      <c r="L295" s="525"/>
      <c r="M295" s="525"/>
      <c r="N295" s="525"/>
      <c r="O295" s="525"/>
      <c r="P295" s="525"/>
    </row>
    <row r="296" spans="1:16" ht="19.5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IFERROR(__xludf.DUMMYFUNCTION("IMPORTRANGE(""https://docs.google.com/spreadsheets/d/1eHaY18a8A9IcSdp1K8H6x8fbOy06t2VsZHhMHf-1x7Y/edit?usp=sharing"",""แผน!ED34"")"),70)</f>
        <v>70</v>
      </c>
      <c r="J296" s="595">
        <v>0</v>
      </c>
      <c r="K296" s="621">
        <f ca="1">IF(I296&gt;0,J296*100/I296,0)</f>
        <v>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hidden="1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hidden="1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hidden="1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0</v>
      </c>
      <c r="J302" s="598">
        <f>J314</f>
        <v>0</v>
      </c>
      <c r="K302" s="597">
        <f ca="1">IF(I302&gt;0,J302*100/I302,0)</f>
        <v>0</v>
      </c>
      <c r="L302" s="580"/>
      <c r="M302" s="580"/>
      <c r="N302" s="580"/>
      <c r="O302" s="580"/>
      <c r="P302" s="580"/>
    </row>
    <row r="303" spans="1:16" ht="19.5" hidden="1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0</v>
      </c>
      <c r="M303" s="577">
        <f ca="1">M304+M305</f>
        <v>0</v>
      </c>
      <c r="N303" s="577">
        <f ca="1">N304+N305</f>
        <v>0</v>
      </c>
      <c r="O303" s="577">
        <f ca="1">IF(L303&gt;0,N303*100/L303,0)</f>
        <v>0</v>
      </c>
      <c r="P303" s="577">
        <f ca="1">IF(M303&gt;0,N303*100/M303,0)</f>
        <v>0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hidden="1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0</v>
      </c>
      <c r="M305" s="425">
        <f ca="1">M308+M311</f>
        <v>0</v>
      </c>
      <c r="N305" s="425">
        <f ca="1">N308+N311</f>
        <v>0</v>
      </c>
      <c r="O305" s="425">
        <f ca="1">IF(L305&gt;0,N305*100/L305,0)</f>
        <v>0</v>
      </c>
      <c r="P305" s="425">
        <f ca="1">IF(M305&gt;0,N305*100/M305,0)</f>
        <v>0</v>
      </c>
    </row>
    <row r="306" spans="1:16" ht="18.75" hidden="1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0</v>
      </c>
      <c r="M306" s="425">
        <f ca="1">M307+M308</f>
        <v>0</v>
      </c>
      <c r="N306" s="425">
        <f ca="1">N307+N308</f>
        <v>0</v>
      </c>
      <c r="O306" s="425">
        <f ca="1">IF(L306&gt;0,N306*100/L306,0)</f>
        <v>0</v>
      </c>
      <c r="P306" s="425">
        <f ca="1">IF(M306&gt;0,N306*100/M306,0)</f>
        <v>0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hidden="1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IFERROR(__xludf.DUMMYFUNCTION("IMPORTRANGE(""https://docs.google.com/spreadsheets/d/1-uDff_7J0KD5mKrp0Vvzr7lt3OU09vwQwhkpOPPYv2Y/edit?usp=sharing"",""งบพรบ!DY34"")"),0)</f>
        <v>0</v>
      </c>
      <c r="M308" s="425">
        <f ca="1">IFERROR(__xludf.DUMMYFUNCTION("IMPORTRANGE(""https://docs.google.com/spreadsheets/d/1-uDff_7J0KD5mKrp0Vvzr7lt3OU09vwQwhkpOPPYv2Y/edit?usp=sharing"",""งบพรบ!ED34"")"),0)</f>
        <v>0</v>
      </c>
      <c r="N308" s="425">
        <f ca="1">IFERROR(__xludf.DUMMYFUNCTION("IMPORTRANGE(""https://docs.google.com/spreadsheets/d/1-uDff_7J0KD5mKrp0Vvzr7lt3OU09vwQwhkpOPPYv2Y/edit?usp=sharing"",""งบพรบ!EF34"")"),0)</f>
        <v>0</v>
      </c>
      <c r="O308" s="425">
        <f ca="1">IF(L308&gt;0,N308*100/L308,0)</f>
        <v>0</v>
      </c>
      <c r="P308" s="425">
        <f ca="1">IF(M308&gt;0,N308*100/M308,0)</f>
        <v>0</v>
      </c>
    </row>
    <row r="309" spans="1:16" ht="18.75" hidden="1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hidden="1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IFERROR(__xludf.DUMMYFUNCTION("IMPORTRANGE(""https://docs.google.com/spreadsheets/d/1-uDff_7J0KD5mKrp0Vvzr7lt3OU09vwQwhkpOPPYv2Y/edit?usp=sharing"",""งบพรบ!EB34"")"),0)</f>
        <v>0</v>
      </c>
      <c r="M311" s="425">
        <f ca="1">IFERROR(__xludf.DUMMYFUNCTION("IMPORTRANGE(""https://docs.google.com/spreadsheets/d/1-uDff_7J0KD5mKrp0Vvzr7lt3OU09vwQwhkpOPPYv2Y/edit?usp=sharing"",""งบพรบ!EE34"")"),0)</f>
        <v>0</v>
      </c>
      <c r="N311" s="425">
        <f ca="1">IFERROR(__xludf.DUMMYFUNCTION("IMPORTRANGE(""https://docs.google.com/spreadsheets/d/1-uDff_7J0KD5mKrp0Vvzr7lt3OU09vwQwhkpOPPYv2Y/edit?usp=sharing"",""งบพรบ!EG34"")"),0)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hidden="1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hidden="1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0</v>
      </c>
      <c r="K313" s="428"/>
      <c r="L313" s="428"/>
      <c r="M313" s="428"/>
      <c r="N313" s="428"/>
      <c r="O313" s="428"/>
      <c r="P313" s="428"/>
    </row>
    <row r="314" spans="1:16" ht="18.75" hidden="1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IFERROR(__xludf.DUMMYFUNCTION("IMPORTRANGE(""https://docs.google.com/spreadsheets/d/1eHaY18a8A9IcSdp1K8H6x8fbOy06t2VsZHhMHf-1x7Y/edit?usp=sharing"",""แผน!EF34"")"),0)</f>
        <v>0</v>
      </c>
      <c r="J314" s="595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hidden="1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IFERROR(__xludf.DUMMYFUNCTION("IMPORTRANGE(""https://docs.google.com/spreadsheets/d/1eHaY18a8A9IcSdp1K8H6x8fbOy06t2VsZHhMHf-1x7Y/edit?usp=sharing"",""แผน!EG34"")"),0)</f>
        <v>0</v>
      </c>
      <c r="J315" s="595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hidden="1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IFERROR(__xludf.DUMMYFUNCTION("IMPORTRANGE(""https://docs.google.com/spreadsheets/d/1eHaY18a8A9IcSdp1K8H6x8fbOy06t2VsZHhMHf-1x7Y/edit?usp=sharing"",""แผน!EH34"")"),0)</f>
        <v>0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424">
        <f ca="1">IFERROR(__xludf.DUMMYFUNCTION("IMPORTRANGE(""https://docs.google.com/spreadsheets/d/1eHaY18a8A9IcSdp1K8H6x8fbOy06t2VsZHhMHf-1x7Y/edit?usp=sharing"",""แผน!EI34"")"),0)</f>
        <v>0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hidden="1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0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hidden="1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0</v>
      </c>
      <c r="M320" s="577">
        <f ca="1">M321+M322</f>
        <v>0</v>
      </c>
      <c r="N320" s="577">
        <f ca="1">N321+N322</f>
        <v>0</v>
      </c>
      <c r="O320" s="577">
        <f ca="1">IF(L320&gt;0,N320*100/L320,0)</f>
        <v>0</v>
      </c>
      <c r="P320" s="577">
        <f ca="1">IF(M320&gt;0,N320*100/M320,0)</f>
        <v>0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hidden="1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hidden="1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IFERROR(__xludf.DUMMYFUNCTION("IMPORTRANGE(""https://docs.google.com/spreadsheets/d/1-uDff_7J0KD5mKrp0Vvzr7lt3OU09vwQwhkpOPPYv2Y/edit?usp=sharing"",""งบพรบ!EI34"")"),0)</f>
        <v>0</v>
      </c>
      <c r="M325" s="425">
        <f ca="1">IFERROR(__xludf.DUMMYFUNCTION("IMPORTRANGE(""https://docs.google.com/spreadsheets/d/1-uDff_7J0KD5mKrp0Vvzr7lt3OU09vwQwhkpOPPYv2Y/edit?usp=sharing"",""งบพรบ!EN34"")"),0)</f>
        <v>0</v>
      </c>
      <c r="N325" s="425">
        <f ca="1">IFERROR(__xludf.DUMMYFUNCTION("IMPORTRANGE(""https://docs.google.com/spreadsheets/d/1-uDff_7J0KD5mKrp0Vvzr7lt3OU09vwQwhkpOPPYv2Y/edit?usp=sharing"",""งบพรบ!EP34"")"),0)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hidden="1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IFERROR(__xludf.DUMMYFUNCTION("IMPORTRANGE(""https://docs.google.com/spreadsheets/d/1-uDff_7J0KD5mKrp0Vvzr7lt3OU09vwQwhkpOPPYv2Y/edit?usp=sharing"",""งบพรบ!EL34"")"),0)</f>
        <v>0</v>
      </c>
      <c r="M328" s="425">
        <f ca="1">IFERROR(__xludf.DUMMYFUNCTION("IMPORTRANGE(""https://docs.google.com/spreadsheets/d/1-uDff_7J0KD5mKrp0Vvzr7lt3OU09vwQwhkpOPPYv2Y/edit?usp=sharing"",""งบพรบ!EO34"")"),0)</f>
        <v>0</v>
      </c>
      <c r="N328" s="425">
        <f ca="1">IFERROR(__xludf.DUMMYFUNCTION("IMPORTRANGE(""https://docs.google.com/spreadsheets/d/1-uDff_7J0KD5mKrp0Vvzr7lt3OU09vwQwhkpOPPYv2Y/edit?usp=sharing"",""งบพรบ!EQ34"")"),0)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hidden="1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IFERROR(__xludf.DUMMYFUNCTION("IMPORTRANGE(""https://docs.google.com/spreadsheets/d/1eHaY18a8A9IcSdp1K8H6x8fbOy06t2VsZHhMHf-1x7Y/edit?usp=sharing"",""แผน!EJ34"")"),0)</f>
        <v>0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2260</v>
      </c>
      <c r="J332" s="402">
        <f ca="1">J344+J347+J348+J349+J353</f>
        <v>5444</v>
      </c>
      <c r="K332" s="403">
        <f ca="1">IF(I332&gt;0,J332*100/I332,0)</f>
        <v>240.88495575221239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117000</v>
      </c>
      <c r="M333" s="577">
        <f ca="1">M334+M335</f>
        <v>92150</v>
      </c>
      <c r="N333" s="577">
        <f ca="1">N334+N335</f>
        <v>17620</v>
      </c>
      <c r="O333" s="577">
        <f ca="1">IF(L333&gt;0,N333*100/L333,0)</f>
        <v>15.05982905982906</v>
      </c>
      <c r="P333" s="577">
        <f ca="1">IF(M333&gt;0,N333*100/M333,0)</f>
        <v>19.120998372219209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117000</v>
      </c>
      <c r="M335" s="425">
        <f ca="1">M338+M341</f>
        <v>92150</v>
      </c>
      <c r="N335" s="425">
        <f ca="1">N338+N341</f>
        <v>17620</v>
      </c>
      <c r="O335" s="425">
        <f ca="1">IF(L335&gt;0,N335*100/L335,0)</f>
        <v>15.05982905982906</v>
      </c>
      <c r="P335" s="425">
        <f ca="1">IF(M335&gt;0,N335*100/M335,0)</f>
        <v>19.120998372219209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117000</v>
      </c>
      <c r="M336" s="425">
        <f ca="1">M337+M338</f>
        <v>92150</v>
      </c>
      <c r="N336" s="425">
        <f ca="1">N337+N338</f>
        <v>17620</v>
      </c>
      <c r="O336" s="425">
        <f ca="1">IF(L336&gt;0,N336*100/L336,0)</f>
        <v>15.05982905982906</v>
      </c>
      <c r="P336" s="425">
        <f ca="1">IF(M336&gt;0,N336*100/M336,0)</f>
        <v>19.120998372219209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IFERROR(__xludf.DUMMYFUNCTION("IMPORTRANGE(""https://docs.google.com/spreadsheets/d/1-uDff_7J0KD5mKrp0Vvzr7lt3OU09vwQwhkpOPPYv2Y/edit?usp=sharing"",""งบพรบ!ES34"")"),117000)</f>
        <v>117000</v>
      </c>
      <c r="M338" s="425">
        <f ca="1">IFERROR(__xludf.DUMMYFUNCTION("IMPORTRANGE(""https://docs.google.com/spreadsheets/d/1-uDff_7J0KD5mKrp0Vvzr7lt3OU09vwQwhkpOPPYv2Y/edit?usp=sharing"",""งบพรบ!EX34"")"),92150)</f>
        <v>92150</v>
      </c>
      <c r="N338" s="425">
        <f ca="1">IFERROR(__xludf.DUMMYFUNCTION("IMPORTRANGE(""https://docs.google.com/spreadsheets/d/1-uDff_7J0KD5mKrp0Vvzr7lt3OU09vwQwhkpOPPYv2Y/edit?usp=sharing"",""งบพรบ!EZ34"")"),17620)</f>
        <v>17620</v>
      </c>
      <c r="O338" s="425">
        <f ca="1">IF(L338&gt;0,N338*100/L338,0)</f>
        <v>15.05982905982906</v>
      </c>
      <c r="P338" s="425">
        <f ca="1">IF(M338&gt;0,N338*100/M338,0)</f>
        <v>19.120998372219209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IFERROR(__xludf.DUMMYFUNCTION("IMPORTRANGE(""https://docs.google.com/spreadsheets/d/1-uDff_7J0KD5mKrp0Vvzr7lt3OU09vwQwhkpOPPYv2Y/edit?usp=sharing"",""งบพรบ!EV34"")"),0)</f>
        <v>0</v>
      </c>
      <c r="M341" s="425">
        <f ca="1">IFERROR(__xludf.DUMMYFUNCTION("IMPORTRANGE(""https://docs.google.com/spreadsheets/d/1-uDff_7J0KD5mKrp0Vvzr7lt3OU09vwQwhkpOPPYv2Y/edit?usp=sharing"",""งบพรบ!EY34"")"),0)</f>
        <v>0</v>
      </c>
      <c r="N341" s="425">
        <f ca="1">IFERROR(__xludf.DUMMYFUNCTION("IMPORTRANGE(""https://docs.google.com/spreadsheets/d/1-uDff_7J0KD5mKrp0Vvzr7lt3OU09vwQwhkpOPPYv2Y/edit?usp=sharing"",""งบพรบ!FA34"")"),0)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2265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IFERROR(__xludf.DUMMYFUNCTION("IMPORTRANGE(""https://docs.google.com/spreadsheets/d/1eHaY18a8A9IcSdp1K8H6x8fbOy06t2VsZHhMHf-1x7Y/edit?usp=sharing"",""แผน!EK34"")"),2260)</f>
        <v>2260</v>
      </c>
      <c r="J344" s="424">
        <f ca="1">IFERROR(__xludf.DUMMYFUNCTION("IMPORTRANGE(""https://docs.google.com/spreadsheets/d/1awYsYK3VOup2i3Pq_Yjnu8DRu_mYwSBnCR2QPthd0rU/edit?usp=sharing"",""ศูนย์ยกเว้นโฉนด!D34"")"),2177)</f>
        <v>2177</v>
      </c>
      <c r="K344" s="425">
        <f ca="1">IF(I344&gt;0,J344*100/I344,0)</f>
        <v>96.327433628318587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IFERROR(__xludf.DUMMYFUNCTION("IMPORTRANGE(""https://docs.google.com/spreadsheets/d/1eHaY18a8A9IcSdp1K8H6x8fbOy06t2VsZHhMHf-1x7Y/edit?usp=sharing"",""แผน!EL34"")"),7)</f>
        <v>7</v>
      </c>
      <c r="J346" s="424">
        <f ca="1">IFERROR(__xludf.DUMMYFUNCTION("IMPORTRANGE(""https://docs.google.com/spreadsheets/d/1awYsYK3VOup2i3Pq_Yjnu8DRu_mYwSBnCR2QPthd0rU/edit?usp=sharing"",""ศูนย์รวม!E34"")"),2)</f>
        <v>2</v>
      </c>
      <c r="K346" s="425">
        <f ca="1">IF(I346&gt;0,J346*100/I346,0)</f>
        <v>28.571428571428573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IFERROR(__xludf.DUMMYFUNCTION("IMPORTRANGE(""https://docs.google.com/spreadsheets/d/1awYsYK3VOup2i3Pq_Yjnu8DRu_mYwSBnCR2QPthd0rU/edit?usp=sharing"",""ศูนย์ยกเว้นโฉนด!F34"")"),88)</f>
        <v>88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IFERROR(__xludf.DUMMYFUNCTION("IMPORTRANGE(""https://docs.google.com/spreadsheets/d/1awYsYK3VOup2i3Pq_Yjnu8DRu_mYwSBnCR2QPthd0rU/edit?usp=sharing"",""ศูนย์ยกเว้นโฉนด!G34"")"),0)</f>
        <v>0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IFERROR(__xludf.DUMMYFUNCTION("IMPORTRANGE(""https://docs.google.com/spreadsheets/d/1awYsYK3VOup2i3Pq_Yjnu8DRu_mYwSBnCR2QPthd0rU/edit?usp=sharing"",""ศูนย์ยกเว้นโฉนด!H34"")"),0)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3874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IFERROR(__xludf.DUMMYFUNCTION("IMPORTRANGE(""https://docs.google.com/spreadsheets/d/1awYsYK3VOup2i3Pq_Yjnu8DRu_mYwSBnCR2QPthd0rU/edit?usp=sharing"",""โฉนดM3!G34"")"),695)</f>
        <v>695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IFERROR(__xludf.DUMMYFUNCTION("IMPORTRANGE(""https://docs.google.com/spreadsheets/d/1awYsYK3VOup2i3Pq_Yjnu8DRu_mYwSBnCR2QPthd0rU/edit?usp=sharing"",""โฉนดM3!H34"")"),3179)</f>
        <v>3179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946430</v>
      </c>
      <c r="M356" s="577">
        <f ca="1">M357+M358</f>
        <v>815905</v>
      </c>
      <c r="N356" s="577">
        <f ca="1">N357+N358</f>
        <v>124221.1</v>
      </c>
      <c r="O356" s="577">
        <f ca="1">IF(L356&gt;0,N356*100/L356,0)</f>
        <v>13.125228490221147</v>
      </c>
      <c r="P356" s="577">
        <f ca="1">IF(M356&gt;0,N356*100/M356,0)</f>
        <v>15.22494653176534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946430</v>
      </c>
      <c r="M358" s="425">
        <f ca="1">M361+M364</f>
        <v>815905</v>
      </c>
      <c r="N358" s="425">
        <f ca="1">N361+N364</f>
        <v>124221.1</v>
      </c>
      <c r="O358" s="425">
        <f ca="1">IF(L358&gt;0,N358*100/L358,0)</f>
        <v>13.125228490221147</v>
      </c>
      <c r="P358" s="425">
        <f ca="1">IF(M358&gt;0,N358*100/M358,0)</f>
        <v>15.22494653176534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946430</v>
      </c>
      <c r="M359" s="425">
        <f ca="1">M360+M361</f>
        <v>815905</v>
      </c>
      <c r="N359" s="425">
        <f ca="1">N360+N361</f>
        <v>124221.1</v>
      </c>
      <c r="O359" s="425">
        <f ca="1">IF(L359&gt;0,N359*100/L359,0)</f>
        <v>13.125228490221147</v>
      </c>
      <c r="P359" s="425">
        <f ca="1">IF(M359&gt;0,N359*100/M359,0)</f>
        <v>15.22494653176534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IFERROR(__xludf.DUMMYFUNCTION("IMPORTRANGE(""https://docs.google.com/spreadsheets/d/1-uDff_7J0KD5mKrp0Vvzr7lt3OU09vwQwhkpOPPYv2Y/edit?usp=sharing"",""งบพรบ!FC34"")"),946430)</f>
        <v>946430</v>
      </c>
      <c r="M361" s="425">
        <f ca="1">IFERROR(__xludf.DUMMYFUNCTION("IMPORTRANGE(""https://docs.google.com/spreadsheets/d/1-uDff_7J0KD5mKrp0Vvzr7lt3OU09vwQwhkpOPPYv2Y/edit?usp=sharing"",""งบพรบ!FH34"")"),815905)</f>
        <v>815905</v>
      </c>
      <c r="N361" s="425">
        <f ca="1">IFERROR(__xludf.DUMMYFUNCTION("IMPORTRANGE(""https://docs.google.com/spreadsheets/d/1-uDff_7J0KD5mKrp0Vvzr7lt3OU09vwQwhkpOPPYv2Y/edit?usp=sharing"",""งบพรบ!FJ34"")"),124221.1)</f>
        <v>124221.1</v>
      </c>
      <c r="O361" s="425">
        <f ca="1">IF(L361&gt;0,N361*100/L361,0)</f>
        <v>13.125228490221147</v>
      </c>
      <c r="P361" s="425">
        <f ca="1">IF(M361&gt;0,N361*100/M361,0)</f>
        <v>15.22494653176534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IFERROR(__xludf.DUMMYFUNCTION("IMPORTRANGE(""https://docs.google.com/spreadsheets/d/1-uDff_7J0KD5mKrp0Vvzr7lt3OU09vwQwhkpOPPYv2Y/edit?usp=sharing"",""งบพรบ!FF34"")"),0)</f>
        <v>0</v>
      </c>
      <c r="M364" s="425">
        <f ca="1">IFERROR(__xludf.DUMMYFUNCTION("IMPORTRANGE(""https://docs.google.com/spreadsheets/d/1-uDff_7J0KD5mKrp0Vvzr7lt3OU09vwQwhkpOPPYv2Y/edit?usp=sharing"",""งบพรบ!FI34"")"),0)</f>
        <v>0</v>
      </c>
      <c r="N364" s="425">
        <f ca="1">IFERROR(__xludf.DUMMYFUNCTION("IMPORTRANGE(""https://docs.google.com/spreadsheets/d/1-uDff_7J0KD5mKrp0Vvzr7lt3OU09vwQwhkpOPPYv2Y/edit?usp=sharing"",""งบพรบ!FK34"")"),0)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385</v>
      </c>
      <c r="J365" s="438">
        <f ca="1">J371</f>
        <v>126</v>
      </c>
      <c r="K365" s="439">
        <f ca="1">IF(I365&gt;0,J365*100/I365,0)</f>
        <v>32.727272727272727</v>
      </c>
      <c r="L365" s="571"/>
      <c r="M365" s="571"/>
      <c r="N365" s="571"/>
      <c r="O365" s="571"/>
      <c r="P365" s="571"/>
    </row>
    <row r="366" spans="1:16" ht="19.5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IFERROR(__xludf.DUMMYFUNCTION("IMPORTRANGE(""https://docs.google.com/spreadsheets/d/1tdoBKaGub7dwA3U6UFTqxio9LNnvDCQjHKmttSEBsFQ/edit?usp=sharing"",""จัดที่ดิน!AB34"")"),13)</f>
        <v>13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IFERROR(__xludf.DUMMYFUNCTION("IMPORTRANGE(""https://docs.google.com/spreadsheets/d/1eHaY18a8A9IcSdp1K8H6x8fbOy06t2VsZHhMHf-1x7Y/edit?usp=sharing"",""แผน!EW34"")"),3405)</f>
        <v>3405</v>
      </c>
      <c r="J368" s="565">
        <f ca="1">IFERROR(__xludf.DUMMYFUNCTION("IMPORTRANGE(""https://docs.google.com/spreadsheets/d/1tdoBKaGub7dwA3U6UFTqxio9LNnvDCQjHKmttSEBsFQ/edit?usp=sharing"",""จัดที่ดิน!AC34"")"),122.419999999999)</f>
        <v>122.41999999999901</v>
      </c>
      <c r="K368" s="425">
        <f ca="1">IF(I368&gt;0,J368*100/I368,0)</f>
        <v>3.5953010279001174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IFERROR(__xludf.DUMMYFUNCTION("IMPORTRANGE(""https://docs.google.com/spreadsheets/d/1eHaY18a8A9IcSdp1K8H6x8fbOy06t2VsZHhMHf-1x7Y/edit?usp=sharing"",""แผน!EX34"")"),591)</f>
        <v>591</v>
      </c>
      <c r="J369" s="424">
        <f ca="1">IFERROR(__xludf.DUMMYFUNCTION("IMPORTRANGE(""https://docs.google.com/spreadsheets/d/1tdoBKaGub7dwA3U6UFTqxio9LNnvDCQjHKmttSEBsFQ/edit?usp=sharing"",""จัดที่ดิน!AD34"")"),128)</f>
        <v>128</v>
      </c>
      <c r="K369" s="425">
        <f ca="1">IF(I369&gt;0,J369*100/I369,0)</f>
        <v>21.658206429780034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IFERROR(__xludf.DUMMYFUNCTION("IMPORTRANGE(""https://docs.google.com/spreadsheets/d/1tdoBKaGub7dwA3U6UFTqxio9LNnvDCQjHKmttSEBsFQ/edit?usp=sharing"",""จัดที่ดิน!AE34"")"),1907.37)</f>
        <v>1907.37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IFERROR(__xludf.DUMMYFUNCTION("IMPORTRANGE(""https://docs.google.com/spreadsheets/d/1eHaY18a8A9IcSdp1K8H6x8fbOy06t2VsZHhMHf-1x7Y/edit?usp=sharing"",""แผน!EY34"")"),385)</f>
        <v>385</v>
      </c>
      <c r="J371" s="424">
        <f ca="1">IFERROR(__xludf.DUMMYFUNCTION("IMPORTRANGE(""https://docs.google.com/spreadsheets/d/1tdoBKaGub7dwA3U6UFTqxio9LNnvDCQjHKmttSEBsFQ/edit?usp=sharing"",""จัดที่ดิน!AF34"")"),126)</f>
        <v>126</v>
      </c>
      <c r="K371" s="425">
        <f ca="1">IF(I371&gt;0,J371*100/I371,0)</f>
        <v>32.727272727272727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IFERROR(__xludf.DUMMYFUNCTION("IMPORTRANGE(""https://docs.google.com/spreadsheets/d/1tdoBKaGub7dwA3U6UFTqxio9LNnvDCQjHKmttSEBsFQ/edit?usp=sharing"",""จัดที่ดิน!AG34"")"),1845.24)</f>
        <v>1845.24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IFERROR(__xludf.DUMMYFUNCTION("IMPORTRANGE(""https://docs.google.com/spreadsheets/d/1-uDff_7J0KD5mKrp0Vvzr7lt3OU09vwQwhkpOPPYv2Y/edit?usp=sharing"",""งบพรบ!FM34"")"),0)</f>
        <v>0</v>
      </c>
      <c r="M382" s="521">
        <f ca="1">IFERROR(__xludf.DUMMYFUNCTION("IMPORTRANGE(""https://docs.google.com/spreadsheets/d/1-uDff_7J0KD5mKrp0Vvzr7lt3OU09vwQwhkpOPPYv2Y/edit?usp=sharing"",""งบพรบ!FR34"")"),0)</f>
        <v>0</v>
      </c>
      <c r="N382" s="521">
        <f ca="1">IFERROR(__xludf.DUMMYFUNCTION("IMPORTRANGE(""https://docs.google.com/spreadsheets/d/1-uDff_7J0KD5mKrp0Vvzr7lt3OU09vwQwhkpOPPYv2Y/edit?usp=sharing"",""งบพรบ!FT34"")"),0)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IFERROR(__xludf.DUMMYFUNCTION("IMPORTRANGE(""https://docs.google.com/spreadsheets/d/1-uDff_7J0KD5mKrp0Vvzr7lt3OU09vwQwhkpOPPYv2Y/edit?usp=sharing"",""งบพรบ!FP34"")"),0)</f>
        <v>0</v>
      </c>
      <c r="M385" s="521">
        <f ca="1">IFERROR(__xludf.DUMMYFUNCTION("IMPORTRANGE(""https://docs.google.com/spreadsheets/d/1-uDff_7J0KD5mKrp0Vvzr7lt3OU09vwQwhkpOPPYv2Y/edit?usp=sharing"",""งบพรบ!FS34"")"),0)</f>
        <v>0</v>
      </c>
      <c r="N385" s="521">
        <f ca="1">IFERROR(__xludf.DUMMYFUNCTION("IMPORTRANGE(""https://docs.google.com/spreadsheets/d/1-uDff_7J0KD5mKrp0Vvzr7lt3OU09vwQwhkpOPPYv2Y/edit?usp=sharing"",""งบพรบ!FU34"")"),0)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0F175-153C-4AD9-AF48-58E02FBB671B}">
  <sheetPr>
    <outlinePr summaryBelow="0" summaryRight="0"/>
    <pageSetUpPr fitToPage="1"/>
  </sheetPr>
  <dimension ref="A1:P391"/>
  <sheetViews>
    <sheetView view="pageBreakPreview" zoomScale="60" zoomScaleNormal="70" workbookViewId="0">
      <pane xSplit="8" ySplit="17" topLeftCell="I18" activePane="bottomRight" state="frozen"/>
      <selection activeCell="H27" sqref="H27"/>
      <selection pane="topRight" activeCell="H27" sqref="H27"/>
      <selection pane="bottomLeft" activeCell="H27" sqref="H27"/>
      <selection pane="bottomRight" activeCell="H27" sqref="H27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5.140625" customWidth="1"/>
    <col min="11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869" t="s">
        <v>0</v>
      </c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  <c r="O1" s="869"/>
      <c r="P1" s="869"/>
    </row>
    <row r="2" spans="1:16" ht="19.5" x14ac:dyDescent="0.3">
      <c r="A2" s="869" t="s">
        <v>163</v>
      </c>
      <c r="B2" s="869"/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  <c r="P2" s="869"/>
    </row>
    <row r="3" spans="1:16" ht="19.5" x14ac:dyDescent="0.3">
      <c r="A3" s="869"/>
      <c r="B3" s="869"/>
      <c r="C3" s="869"/>
      <c r="D3" s="869"/>
      <c r="E3" s="869"/>
      <c r="F3" s="869"/>
      <c r="G3" s="869"/>
      <c r="H3" s="869"/>
      <c r="I3" s="869"/>
      <c r="J3" s="869"/>
      <c r="K3" s="869"/>
      <c r="L3" s="869"/>
      <c r="M3" s="869"/>
      <c r="N3" s="869"/>
      <c r="O3" s="869"/>
      <c r="P3" s="869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5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493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1667545</v>
      </c>
      <c r="M18" s="704">
        <f ca="1">M19+M20</f>
        <v>1360045</v>
      </c>
      <c r="N18" s="704">
        <f ca="1">N19+N20</f>
        <v>446343.2</v>
      </c>
      <c r="O18" s="704">
        <f ca="1">IF(L18&gt;0,N18*100/L18,0)</f>
        <v>26.766486061845409</v>
      </c>
      <c r="P18" s="704">
        <f ca="1">IF(M18&gt;0,N18*100/M18,0)</f>
        <v>32.818267042634616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1667545</v>
      </c>
      <c r="M20" s="817">
        <f ca="1">M23+M26</f>
        <v>1360045</v>
      </c>
      <c r="N20" s="817">
        <f ca="1">N23+N26</f>
        <v>446343.2</v>
      </c>
      <c r="O20" s="817">
        <f ca="1">IF(L20&gt;0,N20*100/L20,0)</f>
        <v>26.766486061845409</v>
      </c>
      <c r="P20" s="817">
        <f ca="1">IF(M20&gt;0,N20*100/M20,0)</f>
        <v>32.818267042634616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1667545</v>
      </c>
      <c r="M21" s="425">
        <f ca="1">M22+M23</f>
        <v>1360045</v>
      </c>
      <c r="N21" s="425">
        <f ca="1">N22+N23</f>
        <v>446343.2</v>
      </c>
      <c r="O21" s="425">
        <f ca="1">IF(L21&gt;0,N21*100/L21,0)</f>
        <v>26.766486061845409</v>
      </c>
      <c r="P21" s="425">
        <f ca="1">IF(M21&gt;0,N21*100/M21,0)</f>
        <v>32.818267042634616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1667545</v>
      </c>
      <c r="M23" s="425">
        <f ca="1">M49+M64+M77+M99+M130+M144+M162+M191+M178+M271+M287+M308+M325+M338+M361+M382</f>
        <v>1360045</v>
      </c>
      <c r="N23" s="425">
        <f ca="1">N49+N64+N77+N99+N130+N144+N162+N191+N178+N271+N287+N308+N325+N338+N361+N382</f>
        <v>446343.2</v>
      </c>
      <c r="O23" s="425">
        <f ca="1">IF(L23&gt;0,N23*100/L23,0)</f>
        <v>26.766486061845409</v>
      </c>
      <c r="P23" s="425">
        <f ca="1">IF(M23&gt;0,N23*100/M23,0)</f>
        <v>32.818267042634616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2.75" hidden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1667545</v>
      </c>
      <c r="M40" s="809">
        <f ca="1">M44+M59+M72+M94+M125+M139+M157+M173+M186+M266+M282+M303+M320+M333+M356</f>
        <v>1360045</v>
      </c>
      <c r="N40" s="809">
        <f ca="1">N44+N59+N72+N94+N125+N139+N157+N173+N186+N266+N282+N303+N320+N333+N356</f>
        <v>446343.2</v>
      </c>
      <c r="O40" s="809">
        <f ca="1">IF(L40&gt;0,N40*100/L40,0)</f>
        <v>26.766486061845409</v>
      </c>
      <c r="P40" s="809">
        <f ca="1">IF(M40&gt;0,N40*100/M40,0)</f>
        <v>32.818267042634616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291300</v>
      </c>
      <c r="M44" s="794">
        <f ca="1">M45+M46</f>
        <v>295800</v>
      </c>
      <c r="N44" s="794">
        <f ca="1">N45+N46</f>
        <v>95900</v>
      </c>
      <c r="O44" s="794">
        <f ca="1">IF(L44&gt;0,N44*100/L44,0)</f>
        <v>32.921386886371437</v>
      </c>
      <c r="P44" s="794">
        <f ca="1">IF(M44&gt;0,N44*100/M44,0)</f>
        <v>32.420554428668019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291300</v>
      </c>
      <c r="M46" s="783">
        <f ca="1">M49+M52</f>
        <v>295800</v>
      </c>
      <c r="N46" s="783">
        <f ca="1">N49+N52</f>
        <v>95900</v>
      </c>
      <c r="O46" s="783">
        <f ca="1">IF(L46&gt;0,N46*100/L46,0)</f>
        <v>32.921386886371437</v>
      </c>
      <c r="P46" s="783">
        <f ca="1">IF(M46&gt;0,N46*100/M46,0)</f>
        <v>32.420554428668019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291300</v>
      </c>
      <c r="M47" s="425">
        <f ca="1">M48+M49</f>
        <v>295800</v>
      </c>
      <c r="N47" s="425">
        <f ca="1">N48+N49</f>
        <v>95900</v>
      </c>
      <c r="O47" s="425">
        <f ca="1">IF(L47&gt;0,N47*100/L47,0)</f>
        <v>32.921386886371437</v>
      </c>
      <c r="P47" s="425">
        <f ca="1">IF(M47&gt;0,N47*100/M47,0)</f>
        <v>32.420554428668019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IFERROR(__xludf.DUMMYFUNCTION("IMPORTRANGE(""https://docs.google.com/spreadsheets/d/1-uDff_7J0KD5mKrp0Vvzr7lt3OU09vwQwhkpOPPYv2Y/edit?usp=sharing"",""งบพรบ!P35"")"),291300)</f>
        <v>291300</v>
      </c>
      <c r="M49" s="425">
        <f ca="1">IFERROR(__xludf.DUMMYFUNCTION("IMPORTRANGE(""https://docs.google.com/spreadsheets/d/1-uDff_7J0KD5mKrp0Vvzr7lt3OU09vwQwhkpOPPYv2Y/edit?usp=sharing"",""งบพรบ!V35"")"),295800)</f>
        <v>295800</v>
      </c>
      <c r="N49" s="425">
        <f ca="1">IFERROR(__xludf.DUMMYFUNCTION("IMPORTRANGE(""https://docs.google.com/spreadsheets/d/1-uDff_7J0KD5mKrp0Vvzr7lt3OU09vwQwhkpOPPYv2Y/edit?usp=sharing"",""งบพรบ!Y35"")"),95900)</f>
        <v>95900</v>
      </c>
      <c r="O49" s="425">
        <f ca="1">IF(L49&gt;0,N49*100/L49,0)</f>
        <v>32.921386886371437</v>
      </c>
      <c r="P49" s="425">
        <f ca="1">IF(M49&gt;0,N49*100/M49,0)</f>
        <v>32.420554428668019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IFERROR(__xludf.DUMMYFUNCTION("IMPORTRANGE(""https://docs.google.com/spreadsheets/d/1-uDff_7J0KD5mKrp0Vvzr7lt3OU09vwQwhkpOPPYv2Y/edit?usp=sharing"",""งบพรบ!S35"")"),0)</f>
        <v>0</v>
      </c>
      <c r="M52" s="425">
        <f ca="1">IFERROR(__xludf.DUMMYFUNCTION("IMPORTRANGE(""https://docs.google.com/spreadsheets/d/1-uDff_7J0KD5mKrp0Vvzr7lt3OU09vwQwhkpOPPYv2Y/edit?usp=sharing"",""งบพรบ!W35"")"),0)</f>
        <v>0</v>
      </c>
      <c r="N52" s="425">
        <f ca="1">IFERROR(__xludf.DUMMYFUNCTION("IMPORTRANGE(""https://docs.google.com/spreadsheets/d/1-uDff_7J0KD5mKrp0Vvzr7lt3OU09vwQwhkpOPPYv2Y/edit?usp=sharing"",""งบพรบ!Z35"")"),0)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431100</v>
      </c>
      <c r="M59" s="763">
        <f ca="1">M60+M61</f>
        <v>325450</v>
      </c>
      <c r="N59" s="763">
        <f ca="1">N60+N61</f>
        <v>134173.20000000001</v>
      </c>
      <c r="O59" s="763">
        <f ca="1">IF(L59&gt;0,N59*100/L59,0)</f>
        <v>31.123451635351429</v>
      </c>
      <c r="P59" s="763">
        <f ca="1">IF(M59&gt;0,N59*100/M59,0)</f>
        <v>41.226978030419424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431100</v>
      </c>
      <c r="M61" s="752">
        <f ca="1">M64+M67</f>
        <v>325450</v>
      </c>
      <c r="N61" s="752">
        <f ca="1">N64+N67</f>
        <v>134173.20000000001</v>
      </c>
      <c r="O61" s="752">
        <f ca="1">IF(L61&gt;0,N61*100/L61,0)</f>
        <v>31.123451635351429</v>
      </c>
      <c r="P61" s="752">
        <f ca="1">IF(M61&gt;0,N61*100/M61,0)</f>
        <v>41.226978030419424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431100</v>
      </c>
      <c r="M62" s="425">
        <f ca="1">M63+M64</f>
        <v>325450</v>
      </c>
      <c r="N62" s="425">
        <f ca="1">N63+N64</f>
        <v>134173.20000000001</v>
      </c>
      <c r="O62" s="425">
        <f ca="1">IF(L62&gt;0,N62*100/L62,0)</f>
        <v>31.123451635351429</v>
      </c>
      <c r="P62" s="425">
        <f ca="1">IF(M62&gt;0,N62*100/M62,0)</f>
        <v>41.226978030419424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IFERROR(__xludf.DUMMYFUNCTION("IMPORTRANGE(""https://docs.google.com/spreadsheets/d/1-uDff_7J0KD5mKrp0Vvzr7lt3OU09vwQwhkpOPPYv2Y/edit?usp=sharing"",""งบพรบ!AC35"")"),431100)</f>
        <v>431100</v>
      </c>
      <c r="M64" s="425">
        <f ca="1">IFERROR(__xludf.DUMMYFUNCTION("IMPORTRANGE(""https://docs.google.com/spreadsheets/d/1-uDff_7J0KD5mKrp0Vvzr7lt3OU09vwQwhkpOPPYv2Y/edit?usp=sharing"",""งบพรบ!AH35"")"),325450)</f>
        <v>325450</v>
      </c>
      <c r="N64" s="425">
        <f ca="1">IFERROR(__xludf.DUMMYFUNCTION("IMPORTRANGE(""https://docs.google.com/spreadsheets/d/1-uDff_7J0KD5mKrp0Vvzr7lt3OU09vwQwhkpOPPYv2Y/edit?usp=sharing"",""งบพรบ!AJ35"")"),134173.2)</f>
        <v>134173.20000000001</v>
      </c>
      <c r="O64" s="425">
        <f ca="1">IF(L64&gt;0,N64*100/L64,0)</f>
        <v>31.123451635351429</v>
      </c>
      <c r="P64" s="425">
        <f ca="1">IF(M64&gt;0,N64*100/M64,0)</f>
        <v>41.226978030419424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IFERROR(__xludf.DUMMYFUNCTION("IMPORTRANGE(""https://docs.google.com/spreadsheets/d/1-uDff_7J0KD5mKrp0Vvzr7lt3OU09vwQwhkpOPPYv2Y/edit?usp=sharing"",""งบพรบ!AF35"")"),0)</f>
        <v>0</v>
      </c>
      <c r="M67" s="747">
        <f ca="1">IFERROR(__xludf.DUMMYFUNCTION("IMPORTRANGE(""https://docs.google.com/spreadsheets/d/1-uDff_7J0KD5mKrp0Vvzr7lt3OU09vwQwhkpOPPYv2Y/edit?usp=sharing"",""งบพรบ!AI35"")"),0)</f>
        <v>0</v>
      </c>
      <c r="N67" s="747">
        <f ca="1">IFERROR(__xludf.DUMMYFUNCTION("IMPORTRANGE(""https://docs.google.com/spreadsheets/d/1-uDff_7J0KD5mKrp0Vvzr7lt3OU09vwQwhkpOPPYv2Y/edit?usp=sharing"",""งบพรบ!AK35"")"),0)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19.5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hidden="1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hidden="1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0</v>
      </c>
      <c r="J70" s="705">
        <f>J82</f>
        <v>0</v>
      </c>
      <c r="K70" s="704">
        <f ca="1">IF(I70&gt;0,J70*100/I70,0)</f>
        <v>0</v>
      </c>
      <c r="L70" s="703"/>
      <c r="M70" s="703"/>
      <c r="N70" s="703"/>
      <c r="O70" s="703"/>
      <c r="P70" s="703"/>
    </row>
    <row r="71" spans="1:16" ht="19.5" hidden="1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0</v>
      </c>
      <c r="J71" s="705">
        <f>J83</f>
        <v>0</v>
      </c>
      <c r="K71" s="704">
        <f ca="1">IF(I71&gt;0,J71*100/I71,0)</f>
        <v>0</v>
      </c>
      <c r="L71" s="703"/>
      <c r="M71" s="703"/>
      <c r="N71" s="703"/>
      <c r="O71" s="703"/>
      <c r="P71" s="703"/>
    </row>
    <row r="72" spans="1:16" ht="19.5" hidden="1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0</v>
      </c>
      <c r="M72" s="577">
        <f ca="1">M73+M74</f>
        <v>0</v>
      </c>
      <c r="N72" s="577">
        <f ca="1">N73+N74</f>
        <v>0</v>
      </c>
      <c r="O72" s="577">
        <f ca="1">IF(L72&gt;0,N72*100/L72,0)</f>
        <v>0</v>
      </c>
      <c r="P72" s="577">
        <f ca="1">IF(M72&gt;0,N72*100/M72,0)</f>
        <v>0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hidden="1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hidden="1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IFERROR(__xludf.DUMMYFUNCTION("IMPORTRANGE(""https://docs.google.com/spreadsheets/d/1-uDff_7J0KD5mKrp0Vvzr7lt3OU09vwQwhkpOPPYv2Y/edit?usp=sharing"",""งบพรบ!AM35"")"),0)</f>
        <v>0</v>
      </c>
      <c r="M77" s="425">
        <f ca="1">IFERROR(__xludf.DUMMYFUNCTION("IMPORTRANGE(""https://docs.google.com/spreadsheets/d/1-uDff_7J0KD5mKrp0Vvzr7lt3OU09vwQwhkpOPPYv2Y/edit?usp=sharing"",""งบพรบ!AR35"")"),0)</f>
        <v>0</v>
      </c>
      <c r="N77" s="425">
        <f ca="1">IFERROR(__xludf.DUMMYFUNCTION("IMPORTRANGE(""https://docs.google.com/spreadsheets/d/1-uDff_7J0KD5mKrp0Vvzr7lt3OU09vwQwhkpOPPYv2Y/edit?usp=sharing"",""งบพรบ!AT35"")"),0)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hidden="1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IFERROR(__xludf.DUMMYFUNCTION("IMPORTRANGE(""https://docs.google.com/spreadsheets/d/1-uDff_7J0KD5mKrp0Vvzr7lt3OU09vwQwhkpOPPYv2Y/edit?usp=sharing"",""งบพรบ!AP35"")"),0)</f>
        <v>0</v>
      </c>
      <c r="M80" s="425">
        <f ca="1">IFERROR(__xludf.DUMMYFUNCTION("IMPORTRANGE(""https://docs.google.com/spreadsheets/d/1-uDff_7J0KD5mKrp0Vvzr7lt3OU09vwQwhkpOPPYv2Y/edit?usp=sharing"",""งบพรบ!AS35"")"),0)</f>
        <v>0</v>
      </c>
      <c r="N80" s="425">
        <f ca="1">IFERROR(__xludf.DUMMYFUNCTION("IMPORTRANGE(""https://docs.google.com/spreadsheets/d/1-uDff_7J0KD5mKrp0Vvzr7lt3OU09vwQwhkpOPPYv2Y/edit?usp=sharing"",""งบพรบ!AU35"")"),0)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hidden="1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0</v>
      </c>
      <c r="J82" s="625">
        <f>J84+J86+J88</f>
        <v>0</v>
      </c>
      <c r="K82" s="624">
        <f ca="1">IF(I82&gt;0,J82*100/I82,0)</f>
        <v>0</v>
      </c>
      <c r="L82" s="525"/>
      <c r="M82" s="525"/>
      <c r="N82" s="525"/>
      <c r="O82" s="525"/>
      <c r="P82" s="525"/>
    </row>
    <row r="83" spans="1:16" ht="19.5" hidden="1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0</v>
      </c>
      <c r="J83" s="625">
        <f>J85+J87+J89</f>
        <v>0</v>
      </c>
      <c r="K83" s="624">
        <f ca="1">IF(I83&gt;0,J83*100/I83,0)</f>
        <v>0</v>
      </c>
      <c r="L83" s="525"/>
      <c r="M83" s="525"/>
      <c r="N83" s="525"/>
      <c r="O83" s="525"/>
      <c r="P83" s="525"/>
    </row>
    <row r="84" spans="1:16" ht="18.75" hidden="1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IFERROR(__xludf.DUMMYFUNCTION("IMPORTRANGE(""https://docs.google.com/spreadsheets/d/1eHaY18a8A9IcSdp1K8H6x8fbOy06t2VsZHhMHf-1x7Y/edit?usp=sharing"",""แผน!H35"")"),0)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hidden="1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IFERROR(__xludf.DUMMYFUNCTION("IMPORTRANGE(""https://docs.google.com/spreadsheets/d/1eHaY18a8A9IcSdp1K8H6x8fbOy06t2VsZHhMHf-1x7Y/edit?usp=sharing"",""แผน!I35"")"),0)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hidden="1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IFERROR(__xludf.DUMMYFUNCTION("IMPORTRANGE(""https://docs.google.com/spreadsheets/d/1eHaY18a8A9IcSdp1K8H6x8fbOy06t2VsZHhMHf-1x7Y/edit?usp=sharing"",""แผน!F35"")"),0)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hidden="1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IFERROR(__xludf.DUMMYFUNCTION("IMPORTRANGE(""https://docs.google.com/spreadsheets/d/1eHaY18a8A9IcSdp1K8H6x8fbOy06t2VsZHhMHf-1x7Y/edit?usp=sharing"",""แผน!G35"")"),0)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hidden="1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IFERROR(__xludf.DUMMYFUNCTION("IMPORTRANGE(""https://docs.google.com/spreadsheets/d/1eHaY18a8A9IcSdp1K8H6x8fbOy06t2VsZHhMHf-1x7Y/edit?usp=sharing"",""แผน!D35"")"),0)</f>
        <v>0</v>
      </c>
      <c r="J88" s="595">
        <v>0</v>
      </c>
      <c r="K88" s="621">
        <f ca="1">IF(I88&gt;0,J88*100/I88,0)</f>
        <v>0</v>
      </c>
      <c r="L88" s="525"/>
      <c r="M88" s="525"/>
      <c r="N88" s="525"/>
      <c r="O88" s="525"/>
      <c r="P88" s="525"/>
    </row>
    <row r="89" spans="1:16" ht="18.75" hidden="1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IFERROR(__xludf.DUMMYFUNCTION("IMPORTRANGE(""https://docs.google.com/spreadsheets/d/1eHaY18a8A9IcSdp1K8H6x8fbOy06t2VsZHhMHf-1x7Y/edit?usp=sharing"",""แผน!E35"")"),0)</f>
        <v>0</v>
      </c>
      <c r="J89" s="595">
        <v>0</v>
      </c>
      <c r="K89" s="621">
        <f ca="1">IF(I89&gt;0,J89*100/I89,0)</f>
        <v>0</v>
      </c>
      <c r="L89" s="525"/>
      <c r="M89" s="525"/>
      <c r="N89" s="525"/>
      <c r="O89" s="525"/>
      <c r="P89" s="525"/>
    </row>
    <row r="90" spans="1:16" ht="18.75" hidden="1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IFERROR(__xludf.DUMMYFUNCTION("IMPORTRANGE(""https://docs.google.com/spreadsheets/d/1eHaY18a8A9IcSdp1K8H6x8fbOy06t2VsZHhMHf-1x7Y/edit?usp=sharing"",""แผน!J35"")"),0)</f>
        <v>0</v>
      </c>
      <c r="J90" s="595">
        <v>0</v>
      </c>
      <c r="K90" s="621">
        <f ca="1">IF(I90&gt;0,J90*100/I90,0)</f>
        <v>0</v>
      </c>
      <c r="L90" s="525"/>
      <c r="M90" s="525"/>
      <c r="N90" s="525"/>
      <c r="O90" s="525"/>
      <c r="P90" s="525"/>
    </row>
    <row r="91" spans="1:16" ht="19.5" hidden="1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hidden="1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0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hidden="1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0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hidden="1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0</v>
      </c>
      <c r="M94" s="577">
        <f ca="1">M95+M96</f>
        <v>0</v>
      </c>
      <c r="N94" s="577">
        <f ca="1">N95+N96</f>
        <v>0</v>
      </c>
      <c r="O94" s="577">
        <f ca="1">IF(L94&gt;0,N94*100/L94,0)</f>
        <v>0</v>
      </c>
      <c r="P94" s="577">
        <f ca="1">IF(M94&gt;0,N94*100/M94,0)</f>
        <v>0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hidden="1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hidden="1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IFERROR(__xludf.DUMMYFUNCTION("IMPORTRANGE(""https://docs.google.com/spreadsheets/d/1-uDff_7J0KD5mKrp0Vvzr7lt3OU09vwQwhkpOPPYv2Y/edit?usp=sharing"",""งบพรบ!AW35"")"),0)</f>
        <v>0</v>
      </c>
      <c r="M99" s="425">
        <f ca="1">IFERROR(__xludf.DUMMYFUNCTION("IMPORTRANGE(""https://docs.google.com/spreadsheets/d/1-uDff_7J0KD5mKrp0Vvzr7lt3OU09vwQwhkpOPPYv2Y/edit?usp=sharing"",""งบพรบ!BB35"")"),0)</f>
        <v>0</v>
      </c>
      <c r="N99" s="425">
        <f ca="1">IFERROR(__xludf.DUMMYFUNCTION("IMPORTRANGE(""https://docs.google.com/spreadsheets/d/1-uDff_7J0KD5mKrp0Vvzr7lt3OU09vwQwhkpOPPYv2Y/edit?usp=sharing"",""งบพรบ!BD35"")"),0)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hidden="1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IFERROR(__xludf.DUMMYFUNCTION("IMPORTRANGE(""https://docs.google.com/spreadsheets/d/1-uDff_7J0KD5mKrp0Vvzr7lt3OU09vwQwhkpOPPYv2Y/edit?usp=sharing"",""งบพรบ!AZ35"")"),0)</f>
        <v>0</v>
      </c>
      <c r="M102" s="425">
        <f ca="1">IFERROR(__xludf.DUMMYFUNCTION("IMPORTRANGE(""https://docs.google.com/spreadsheets/d/1-uDff_7J0KD5mKrp0Vvzr7lt3OU09vwQwhkpOPPYv2Y/edit?usp=sharing"",""งบพรบ!BC35"")"),0)</f>
        <v>0</v>
      </c>
      <c r="N102" s="425">
        <f ca="1">IFERROR(__xludf.DUMMYFUNCTION("IMPORTRANGE(""https://docs.google.com/spreadsheets/d/1-uDff_7J0KD5mKrp0Vvzr7lt3OU09vwQwhkpOPPYv2Y/edit?usp=sharing"",""งบพรบ!BE35"")"),0)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hidden="1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hidden="1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IFERROR(__xludf.DUMMYFUNCTION("IMPORTRANGE(""https://docs.google.com/spreadsheets/d/1eHaY18a8A9IcSdp1K8H6x8fbOy06t2VsZHhMHf-1x7Y/edit?usp=sharing"",""แผน!N35"")"),0)</f>
        <v>0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hidden="1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IFERROR(__xludf.DUMMYFUNCTION("IMPORTRANGE(""https://docs.google.com/spreadsheets/d/1eHaY18a8A9IcSdp1K8H6x8fbOy06t2VsZHhMHf-1x7Y/edit?usp=sharing"",""แผน!O35"")"),0)</f>
        <v>0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hidden="1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IFERROR(__xludf.DUMMYFUNCTION("IMPORTRANGE(""https://docs.google.com/spreadsheets/d/1eHaY18a8A9IcSdp1K8H6x8fbOy06t2VsZHhMHf-1x7Y/edit?usp=sharing"",""แผน!R35"")"),0)</f>
        <v>0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IFERROR(__xludf.DUMMYFUNCTION("IMPORTRANGE(""https://docs.google.com/spreadsheets/d/1-uDff_7J0KD5mKrp0Vvzr7lt3OU09vwQwhkpOPPYv2Y/edit?usp=sharing"",""งบพรบ!BG35"")"),0)</f>
        <v>0</v>
      </c>
      <c r="M130" s="723">
        <f ca="1">IFERROR(__xludf.DUMMYFUNCTION("IMPORTRANGE(""https://docs.google.com/spreadsheets/d/1-uDff_7J0KD5mKrp0Vvzr7lt3OU09vwQwhkpOPPYv2Y/edit?usp=sharing"",""งบพรบ!BL35"")"),0)</f>
        <v>0</v>
      </c>
      <c r="N130" s="723">
        <f ca="1">IFERROR(__xludf.DUMMYFUNCTION("IMPORTRANGE(""https://docs.google.com/spreadsheets/d/1-uDff_7J0KD5mKrp0Vvzr7lt3OU09vwQwhkpOPPYv2Y/edit?usp=sharing"",""งบพรบ!BN35"")"),0)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IFERROR(__xludf.DUMMYFUNCTION("IMPORTRANGE(""https://docs.google.com/spreadsheets/d/1-uDff_7J0KD5mKrp0Vvzr7lt3OU09vwQwhkpOPPYv2Y/edit?usp=sharing"",""งบพรบ!BJ35"")"),0)</f>
        <v>0</v>
      </c>
      <c r="M133" s="723">
        <f ca="1">IFERROR(__xludf.DUMMYFUNCTION("IMPORTRANGE(""https://docs.google.com/spreadsheets/d/1-uDff_7J0KD5mKrp0Vvzr7lt3OU09vwQwhkpOPPYv2Y/edit?usp=sharing"",""งบพรบ!BM35"")"),0)</f>
        <v>0</v>
      </c>
      <c r="N133" s="723">
        <f ca="1">IFERROR(__xludf.DUMMYFUNCTION("IMPORTRANGE(""https://docs.google.com/spreadsheets/d/1-uDff_7J0KD5mKrp0Vvzr7lt3OU09vwQwhkpOPPYv2Y/edit?usp=sharing"",""งบพรบ!BO35"")"),0)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0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10</v>
      </c>
      <c r="J137" s="705">
        <f>J152</f>
        <v>0</v>
      </c>
      <c r="K137" s="704">
        <f ca="1">IF(I137&gt;0,J137*100/I137,0)</f>
        <v>0</v>
      </c>
      <c r="L137" s="703"/>
      <c r="M137" s="703"/>
      <c r="N137" s="703"/>
      <c r="O137" s="703"/>
      <c r="P137" s="703"/>
    </row>
    <row r="138" spans="1:16" ht="19.5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1</v>
      </c>
      <c r="J138" s="705">
        <f>J153</f>
        <v>0</v>
      </c>
      <c r="K138" s="704">
        <f ca="1">IF(I138&gt;0,J138*100/I138,0)</f>
        <v>0</v>
      </c>
      <c r="L138" s="703"/>
      <c r="M138" s="703"/>
      <c r="N138" s="703"/>
      <c r="O138" s="703"/>
      <c r="P138" s="703"/>
    </row>
    <row r="139" spans="1:16" ht="19.5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106200</v>
      </c>
      <c r="M139" s="577">
        <f ca="1">M140+M141</f>
        <v>77800</v>
      </c>
      <c r="N139" s="577">
        <f ca="1">N140+N141</f>
        <v>29080</v>
      </c>
      <c r="O139" s="577">
        <f ca="1">IF(L139&gt;0,N139*100/L139,0)</f>
        <v>27.382297551789076</v>
      </c>
      <c r="P139" s="577">
        <f ca="1">IF(M139&gt;0,N139*100/M139,0)</f>
        <v>37.377892030848329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106200</v>
      </c>
      <c r="M141" s="425">
        <f ca="1">M144+M147</f>
        <v>77800</v>
      </c>
      <c r="N141" s="425">
        <f ca="1">N144+N147</f>
        <v>29080</v>
      </c>
      <c r="O141" s="425">
        <f ca="1">IF(L141&gt;0,N141*100/L141,0)</f>
        <v>27.382297551789076</v>
      </c>
      <c r="P141" s="425">
        <f ca="1">IF(M141&gt;0,N141*100/M141,0)</f>
        <v>37.377892030848329</v>
      </c>
    </row>
    <row r="142" spans="1:16" ht="18.75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106200</v>
      </c>
      <c r="M142" s="425">
        <f ca="1">M143+M144</f>
        <v>77800</v>
      </c>
      <c r="N142" s="425">
        <f ca="1">N143+N144</f>
        <v>29080</v>
      </c>
      <c r="O142" s="425">
        <f ca="1">IF(L142&gt;0,N142*100/L142,0)</f>
        <v>27.382297551789076</v>
      </c>
      <c r="P142" s="425">
        <f ca="1">IF(M142&gt;0,N142*100/M142,0)</f>
        <v>37.377892030848329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IFERROR(__xludf.DUMMYFUNCTION("IMPORTRANGE(""https://docs.google.com/spreadsheets/d/1-uDff_7J0KD5mKrp0Vvzr7lt3OU09vwQwhkpOPPYv2Y/edit?usp=sharing"",""งบพรบ!BQ35"")"),106200)</f>
        <v>106200</v>
      </c>
      <c r="M144" s="425">
        <f ca="1">IFERROR(__xludf.DUMMYFUNCTION("IMPORTRANGE(""https://docs.google.com/spreadsheets/d/1-uDff_7J0KD5mKrp0Vvzr7lt3OU09vwQwhkpOPPYv2Y/edit?usp=sharing"",""งบพรบ!BV35"")"),77800)</f>
        <v>77800</v>
      </c>
      <c r="N144" s="425">
        <f ca="1">IFERROR(__xludf.DUMMYFUNCTION("IMPORTRANGE(""https://docs.google.com/spreadsheets/d/1-uDff_7J0KD5mKrp0Vvzr7lt3OU09vwQwhkpOPPYv2Y/edit?usp=sharing"",""งบพรบ!BX35"")"),29080)</f>
        <v>29080</v>
      </c>
      <c r="O144" s="425">
        <f ca="1">IF(L144&gt;0,N144*100/L144,0)</f>
        <v>27.382297551789076</v>
      </c>
      <c r="P144" s="425">
        <f ca="1">IF(M144&gt;0,N144*100/M144,0)</f>
        <v>37.377892030848329</v>
      </c>
    </row>
    <row r="145" spans="1:16" ht="18.75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IFERROR(__xludf.DUMMYFUNCTION("IMPORTRANGE(""https://docs.google.com/spreadsheets/d/1-uDff_7J0KD5mKrp0Vvzr7lt3OU09vwQwhkpOPPYv2Y/edit?usp=sharing"",""งบพรบ!BT35"")"),0)</f>
        <v>0</v>
      </c>
      <c r="M147" s="425">
        <f ca="1">IFERROR(__xludf.DUMMYFUNCTION("IMPORTRANGE(""https://docs.google.com/spreadsheets/d/1-uDff_7J0KD5mKrp0Vvzr7lt3OU09vwQwhkpOPPYv2Y/edit?usp=sharing"",""งบพรบ!BW35"")"),0)</f>
        <v>0</v>
      </c>
      <c r="N147" s="425">
        <f ca="1">IFERROR(__xludf.DUMMYFUNCTION("IMPORTRANGE(""https://docs.google.com/spreadsheets/d/1-uDff_7J0KD5mKrp0Vvzr7lt3OU09vwQwhkpOPPYv2Y/edit?usp=sharing"",""งบพรบ!BY35"")"),0)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x14ac:dyDescent="0.3">
      <c r="A150" s="535"/>
      <c r="B150" s="418"/>
      <c r="C150" s="418"/>
      <c r="D150" s="420"/>
      <c r="E150" s="570" t="s">
        <v>159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IFERROR(__xludf.DUMMYFUNCTION("IMPORTRANGE(""https://docs.google.com/spreadsheets/d/1eHaY18a8A9IcSdp1K8H6x8fbOy06t2VsZHhMHf-1x7Y/edit?usp=sharing"",""แผน!U35"")"),0)</f>
        <v>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IFERROR(__xludf.DUMMYFUNCTION("IMPORTRANGE(""https://docs.google.com/spreadsheets/d/1eHaY18a8A9IcSdp1K8H6x8fbOy06t2VsZHhMHf-1x7Y/edit?usp=sharing"",""แผน!V35"")"),0)</f>
        <v>0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x14ac:dyDescent="0.3">
      <c r="A152" s="535"/>
      <c r="B152" s="418"/>
      <c r="C152" s="418"/>
      <c r="D152" s="420"/>
      <c r="E152" s="570" t="s">
        <v>158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IFERROR(__xludf.DUMMYFUNCTION("IMPORTRANGE(""https://docs.google.com/spreadsheets/d/1eHaY18a8A9IcSdp1K8H6x8fbOy06t2VsZHhMHf-1x7Y/edit?usp=sharing"",""แผน!W35"")"),10)</f>
        <v>10</v>
      </c>
      <c r="J152" s="595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IFERROR(__xludf.DUMMYFUNCTION("IMPORTRANGE(""https://docs.google.com/spreadsheets/d/1eHaY18a8A9IcSdp1K8H6x8fbOy06t2VsZHhMHf-1x7Y/edit?usp=sharing"",""แผน!X35"")"),1)</f>
        <v>1</v>
      </c>
      <c r="J153" s="595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IFERROR(__xludf.DUMMYFUNCTION("IMPORTRANGE(""https://docs.google.com/spreadsheets/d/1eHaY18a8A9IcSdp1K8H6x8fbOy06t2VsZHhMHf-1x7Y/edit?usp=sharing"",""แผน!Y35"")"),0)</f>
        <v>0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hidden="1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hidden="1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I169</f>
        <v>0</v>
      </c>
      <c r="J156" s="705">
        <f>J169</f>
        <v>0</v>
      </c>
      <c r="K156" s="704">
        <f ca="1">IF(I156&gt;0,J156*100/I156,0)</f>
        <v>0</v>
      </c>
      <c r="L156" s="703"/>
      <c r="M156" s="703"/>
      <c r="N156" s="703"/>
      <c r="O156" s="703"/>
      <c r="P156" s="703"/>
    </row>
    <row r="157" spans="1:16" ht="19.5" hidden="1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hidden="1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hidden="1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hidden="1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IFERROR(__xludf.DUMMYFUNCTION("IMPORTRANGE(""https://docs.google.com/spreadsheets/d/1-uDff_7J0KD5mKrp0Vvzr7lt3OU09vwQwhkpOPPYv2Y/edit?usp=sharing"",""งบพรบ!CA35"")"),0)</f>
        <v>0</v>
      </c>
      <c r="M162" s="425">
        <f ca="1">IFERROR(__xludf.DUMMYFUNCTION("IMPORTRANGE(""https://docs.google.com/spreadsheets/d/1-uDff_7J0KD5mKrp0Vvzr7lt3OU09vwQwhkpOPPYv2Y/edit?usp=sharing"",""งบพรบ!CF35"")"),0)</f>
        <v>0</v>
      </c>
      <c r="N162" s="425">
        <f ca="1">IFERROR(__xludf.DUMMYFUNCTION("IMPORTRANGE(""https://docs.google.com/spreadsheets/d/1-uDff_7J0KD5mKrp0Vvzr7lt3OU09vwQwhkpOPPYv2Y/edit?usp=sharing"",""งบพรบ!CH35"")"),0)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hidden="1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hidden="1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IFERROR(__xludf.DUMMYFUNCTION("IMPORTRANGE(""https://docs.google.com/spreadsheets/d/1-uDff_7J0KD5mKrp0Vvzr7lt3OU09vwQwhkpOPPYv2Y/edit?usp=sharing"",""งบพรบ!CD35"")"),0)</f>
        <v>0</v>
      </c>
      <c r="M165" s="425">
        <f ca="1">IFERROR(__xludf.DUMMYFUNCTION("IMPORTRANGE(""https://docs.google.com/spreadsheets/d/1-uDff_7J0KD5mKrp0Vvzr7lt3OU09vwQwhkpOPPYv2Y/edit?usp=sharing"",""งบพรบ!CG35"")"),0)</f>
        <v>0</v>
      </c>
      <c r="N165" s="425">
        <f ca="1">IFERROR(__xludf.DUMMYFUNCTION("IMPORTRANGE(""https://docs.google.com/spreadsheets/d/1-uDff_7J0KD5mKrp0Vvzr7lt3OU09vwQwhkpOPPYv2Y/edit?usp=sharing"",""งบพรบ!CI35"")"),0)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hidden="1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hidden="1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IFERROR(__xludf.DUMMYFUNCTION("IMPORTRANGE(""https://docs.google.com/spreadsheets/d/1eHaY18a8A9IcSdp1K8H6x8fbOy06t2VsZHhMHf-1x7Y/edit?usp=sharing"",""แผน!Z35"")"),0)</f>
        <v>0</v>
      </c>
      <c r="J167" s="595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IFERROR(__xludf.DUMMYFUNCTION("IMPORTRANGE(""https://docs.google.com/spreadsheets/d/1eHaY18a8A9IcSdp1K8H6x8fbOy06t2VsZHhMHf-1x7Y/edit?usp=sharing"",""แผน!Z35"")"),0)</f>
        <v>0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IFERROR(__xludf.DUMMYFUNCTION("IMPORTRANGE(""https://docs.google.com/spreadsheets/d/1eHaY18a8A9IcSdp1K8H6x8fbOy06t2VsZHhMHf-1x7Y/edit?usp=sharing"",""แผน!Z35"")"),0)</f>
        <v>0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7</v>
      </c>
      <c r="J172" s="688">
        <f>J183+J184</f>
        <v>0</v>
      </c>
      <c r="K172" s="687">
        <f ca="1">IF(I172&gt;0,J172*100/I172,0)</f>
        <v>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19590</v>
      </c>
      <c r="M173" s="577">
        <f ca="1">M174+M175</f>
        <v>19590</v>
      </c>
      <c r="N173" s="577">
        <f ca="1">N174+N175</f>
        <v>0</v>
      </c>
      <c r="O173" s="577">
        <f ca="1">IF(L173&gt;0,N173*100/L173,0)</f>
        <v>0</v>
      </c>
      <c r="P173" s="577">
        <f ca="1">IF(M173&gt;0,N173*100/M173,0)</f>
        <v>0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19590</v>
      </c>
      <c r="N175" s="425">
        <f ca="1">N178+N181</f>
        <v>0</v>
      </c>
      <c r="O175" s="425">
        <f ca="1">IF(L175&gt;0,N175*100/L175,0)</f>
        <v>0</v>
      </c>
      <c r="P175" s="425">
        <f ca="1">IF(M175&gt;0,N175*100/M175,0)</f>
        <v>0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19590</v>
      </c>
      <c r="M176" s="425">
        <f ca="1">M177+M178</f>
        <v>19590</v>
      </c>
      <c r="N176" s="425">
        <f ca="1">N177+N178</f>
        <v>0</v>
      </c>
      <c r="O176" s="425">
        <f ca="1">IF(L176&gt;0,N176*100/L176,0)</f>
        <v>0</v>
      </c>
      <c r="P176" s="425">
        <f ca="1">IF(M176&gt;0,N176*100/M176,0)</f>
        <v>0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IFERROR(__xludf.DUMMYFUNCTION("IMPORTRANGE(""https://docs.google.com/spreadsheets/d/1-uDff_7J0KD5mKrp0Vvzr7lt3OU09vwQwhkpOPPYv2Y/edit?usp=sharing"",""งบพรบ!CK35"")"),19590)</f>
        <v>19590</v>
      </c>
      <c r="M178" s="425">
        <f ca="1">IFERROR(__xludf.DUMMYFUNCTION("IMPORTRANGE(""https://docs.google.com/spreadsheets/d/1-uDff_7J0KD5mKrp0Vvzr7lt3OU09vwQwhkpOPPYv2Y/edit?usp=sharing"",""งบพรบ!CP35"")"),19590)</f>
        <v>19590</v>
      </c>
      <c r="N178" s="425">
        <f ca="1">IFERROR(__xludf.DUMMYFUNCTION("IMPORTRANGE(""https://docs.google.com/spreadsheets/d/1-uDff_7J0KD5mKrp0Vvzr7lt3OU09vwQwhkpOPPYv2Y/edit?usp=sharing"",""งบพรบ!CR35"")"),0)</f>
        <v>0</v>
      </c>
      <c r="O178" s="425">
        <f ca="1">IF(L178&gt;0,N178*100/L178,0)</f>
        <v>0</v>
      </c>
      <c r="P178" s="425">
        <f ca="1">IF(M178&gt;0,N178*100/M178,0)</f>
        <v>0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IFERROR(__xludf.DUMMYFUNCTION("IMPORTRANGE(""https://docs.google.com/spreadsheets/d/1-uDff_7J0KD5mKrp0Vvzr7lt3OU09vwQwhkpOPPYv2Y/edit?usp=sharing"",""งบพรบ!CN35"")"),0)</f>
        <v>0</v>
      </c>
      <c r="M181" s="425">
        <f ca="1">IFERROR(__xludf.DUMMYFUNCTION("IMPORTRANGE(""https://docs.google.com/spreadsheets/d/1-uDff_7J0KD5mKrp0Vvzr7lt3OU09vwQwhkpOPPYv2Y/edit?usp=sharing"",""งบพรบ!CQ35"")"),0)</f>
        <v>0</v>
      </c>
      <c r="N181" s="425">
        <f ca="1">IFERROR(__xludf.DUMMYFUNCTION("IMPORTRANGE(""https://docs.google.com/spreadsheets/d/1-uDff_7J0KD5mKrp0Vvzr7lt3OU09vwQwhkpOPPYv2Y/edit?usp=sharing"",""งบพรบ!CS35"")"),0)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IFERROR(__xludf.DUMMYFUNCTION("IMPORTRANGE(""https://docs.google.com/spreadsheets/d/1eHaY18a8A9IcSdp1K8H6x8fbOy06t2VsZHhMHf-1x7Y/edit?usp=sharing"",""แผน!AA35"")"),7)</f>
        <v>7</v>
      </c>
      <c r="J183" s="595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0</v>
      </c>
      <c r="J185" s="688">
        <f>J230+J231</f>
        <v>0</v>
      </c>
      <c r="K185" s="687">
        <f ca="1">IF(I185&gt;0,J185*100/I185,0)</f>
        <v>0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63500</v>
      </c>
      <c r="M186" s="577">
        <f ca="1">M187+M188</f>
        <v>40500</v>
      </c>
      <c r="N186" s="577">
        <f ca="1">N187+N188</f>
        <v>0</v>
      </c>
      <c r="O186" s="577">
        <f ca="1">IF(L186&gt;0,N186*100/L186,0)</f>
        <v>0</v>
      </c>
      <c r="P186" s="577">
        <f ca="1">IF(M186&gt;0,N186*100/M186,0)</f>
        <v>0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63500</v>
      </c>
      <c r="M188" s="425">
        <f ca="1">M191+M194</f>
        <v>40500</v>
      </c>
      <c r="N188" s="425">
        <f ca="1">N191+N194</f>
        <v>0</v>
      </c>
      <c r="O188" s="425">
        <f ca="1">IF(L188&gt;0,N188*100/L188,0)</f>
        <v>0</v>
      </c>
      <c r="P188" s="425">
        <f ca="1">IF(M188&gt;0,N188*100/M188,0)</f>
        <v>0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63500</v>
      </c>
      <c r="M189" s="425">
        <f ca="1">M190+M191</f>
        <v>40500</v>
      </c>
      <c r="N189" s="425">
        <f ca="1">N190+N191</f>
        <v>0</v>
      </c>
      <c r="O189" s="425">
        <f ca="1">IF(L189&gt;0,N189*100/L189,0)</f>
        <v>0</v>
      </c>
      <c r="P189" s="425">
        <f ca="1">IF(M189&gt;0,N189*100/M189,0)</f>
        <v>0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IFERROR(__xludf.DUMMYFUNCTION("IMPORTRANGE(""https://docs.google.com/spreadsheets/d/1-uDff_7J0KD5mKrp0Vvzr7lt3OU09vwQwhkpOPPYv2Y/edit?usp=sharing"",""งบพรบ!CU35"")"),63500)</f>
        <v>63500</v>
      </c>
      <c r="M191" s="425">
        <f ca="1">IFERROR(__xludf.DUMMYFUNCTION("IMPORTRANGE(""https://docs.google.com/spreadsheets/d/1-uDff_7J0KD5mKrp0Vvzr7lt3OU09vwQwhkpOPPYv2Y/edit?usp=sharing"",""งบพรบ!CZ35"")"),40500)</f>
        <v>40500</v>
      </c>
      <c r="N191" s="425">
        <f ca="1">IFERROR(__xludf.DUMMYFUNCTION("IMPORTRANGE(""https://docs.google.com/spreadsheets/d/1-uDff_7J0KD5mKrp0Vvzr7lt3OU09vwQwhkpOPPYv2Y/edit?usp=sharing"",""งบพรบ!DB35"")"),0)</f>
        <v>0</v>
      </c>
      <c r="O191" s="425">
        <f ca="1">IF(L191&gt;0,N191*100/L191,0)</f>
        <v>0</v>
      </c>
      <c r="P191" s="425">
        <f ca="1">IF(M191&gt;0,N191*100/M191,0)</f>
        <v>0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IFERROR(__xludf.DUMMYFUNCTION("IMPORTRANGE(""https://docs.google.com/spreadsheets/d/1-uDff_7J0KD5mKrp0Vvzr7lt3OU09vwQwhkpOPPYv2Y/edit?usp=sharing"",""งบพรบ!CX35"")"),0)</f>
        <v>0</v>
      </c>
      <c r="M194" s="425">
        <f ca="1">IFERROR(__xludf.DUMMYFUNCTION("IMPORTRANGE(""https://docs.google.com/spreadsheets/d/1-uDff_7J0KD5mKrp0Vvzr7lt3OU09vwQwhkpOPPYv2Y/edit?usp=sharing"",""งบพรบ!DA35"")"),0)</f>
        <v>0</v>
      </c>
      <c r="N194" s="425">
        <f ca="1">IFERROR(__xludf.DUMMYFUNCTION("IMPORTRANGE(""https://docs.google.com/spreadsheets/d/1-uDff_7J0KD5mKrp0Vvzr7lt3OU09vwQwhkpOPPYv2Y/edit?usp=sharing"",""งบพรบ!DC35"")"),0)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0</v>
      </c>
      <c r="K195" s="439">
        <f ca="1">IF(I195&gt;0,J195*100/I195,0)</f>
        <v>0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IFERROR(__xludf.DUMMYFUNCTION("IMPORTRANGE(""https://docs.google.com/spreadsheets/d/1eHaY18a8A9IcSdp1K8H6x8fbOy06t2VsZHhMHf-1x7Y/edit?usp=sharing"",""แผน!AB35"")"),6000)</f>
        <v>6000</v>
      </c>
      <c r="M196" s="428"/>
      <c r="N196" s="686">
        <v>0</v>
      </c>
      <c r="O196" s="577">
        <f ca="1">IF(L196&gt;0,N196*100/L196,0)</f>
        <v>0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IFERROR(__xludf.DUMMYFUNCTION("IMPORTRANGE(""https://docs.google.com/spreadsheets/d/1eHaY18a8A9IcSdp1K8H6x8fbOy06t2VsZHhMHf-1x7Y/edit?usp=sharing"",""แผน!AE35"")"),4)</f>
        <v>4</v>
      </c>
      <c r="J198" s="595">
        <v>0</v>
      </c>
      <c r="K198" s="425">
        <f ca="1">IF(I198&gt;0,J198*100/I198,0)</f>
        <v>0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3</v>
      </c>
      <c r="J202" s="438">
        <f>J209</f>
        <v>0</v>
      </c>
      <c r="K202" s="439">
        <f ca="1">IF(I202&gt;0,J202*100/I202,0)</f>
        <v>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39000</v>
      </c>
      <c r="M203" s="428"/>
      <c r="N203" s="577">
        <f>N204+N205+N206+N207</f>
        <v>0</v>
      </c>
      <c r="O203" s="577">
        <f ca="1">IF(L203&gt;0,N203*100/L203,0)</f>
        <v>0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2" t="s">
        <v>157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IFERROR(__xludf.DUMMYFUNCTION("IMPORTRANGE(""https://docs.google.com/spreadsheets/d/1eHaY18a8A9IcSdp1K8H6x8fbOy06t2VsZHhMHf-1x7Y/edit?usp=sharing"",""แผน!AG35"")"),3000)</f>
        <v>3000</v>
      </c>
      <c r="M204" s="428"/>
      <c r="N204" s="683">
        <v>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IFERROR(__xludf.DUMMYFUNCTION("IMPORTRANGE(""https://docs.google.com/spreadsheets/d/1eHaY18a8A9IcSdp1K8H6x8fbOy06t2VsZHhMHf-1x7Y/edit?usp=sharing"",""แผน!AH35"")"),0)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IFERROR(__xludf.DUMMYFUNCTION("IMPORTRANGE(""https://docs.google.com/spreadsheets/d/1eHaY18a8A9IcSdp1K8H6x8fbOy06t2VsZHhMHf-1x7Y/edit?usp=sharing"",""แผน!AI35"")"),24000)</f>
        <v>24000</v>
      </c>
      <c r="M206" s="428"/>
      <c r="N206" s="683">
        <v>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IFERROR(__xludf.DUMMYFUNCTION("IMPORTRANGE(""https://docs.google.com/spreadsheets/d/1eHaY18a8A9IcSdp1K8H6x8fbOy06t2VsZHhMHf-1x7Y/edit?usp=sharing"",""แผน!AJ35"")"),12000)</f>
        <v>12000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IFERROR(__xludf.DUMMYFUNCTION("IMPORTRANGE(""https://docs.google.com/spreadsheets/d/1eHaY18a8A9IcSdp1K8H6x8fbOy06t2VsZHhMHf-1x7Y/edit?usp=sharing"",""แผน!AK35"")"),3)</f>
        <v>3</v>
      </c>
      <c r="J209" s="595">
        <v>0</v>
      </c>
      <c r="K209" s="621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IFERROR(__xludf.DUMMYFUNCTION("IMPORTRANGE(""https://docs.google.com/spreadsheets/d/1eHaY18a8A9IcSdp1K8H6x8fbOy06t2VsZHhMHf-1x7Y/edit?usp=sharing"",""แผน!JX35"")"),3)</f>
        <v>3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IFERROR(__xludf.DUMMYFUNCTION("IMPORTRANGE(""https://docs.google.com/spreadsheets/d/1eHaY18a8A9IcSdp1K8H6x8fbOy06t2VsZHhMHf-1x7Y/edit?usp=sharing"",""แผน!JY35"")"),0)</f>
        <v>0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1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14000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IFERROR(__xludf.DUMMYFUNCTION("IMPORTRANGE(""https://docs.google.com/spreadsheets/d/1eHaY18a8A9IcSdp1K8H6x8fbOy06t2VsZHhMHf-1x7Y/edit?usp=sharing"",""แผน!AM35"")"),1000)</f>
        <v>1000</v>
      </c>
      <c r="M215" s="428"/>
      <c r="N215" s="683">
        <v>0</v>
      </c>
      <c r="O215" s="525"/>
      <c r="P215" s="428"/>
    </row>
    <row r="216" spans="1:16" ht="18.75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IFERROR(__xludf.DUMMYFUNCTION("IMPORTRANGE(""https://docs.google.com/spreadsheets/d/1eHaY18a8A9IcSdp1K8H6x8fbOy06t2VsZHhMHf-1x7Y/edit?usp=sharing"",""แผน!AN35"")"),5000)</f>
        <v>5000</v>
      </c>
      <c r="M216" s="428"/>
      <c r="N216" s="683">
        <v>0</v>
      </c>
      <c r="O216" s="525"/>
      <c r="P216" s="428"/>
    </row>
    <row r="217" spans="1:16" ht="18.75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IFERROR(__xludf.DUMMYFUNCTION("IMPORTRANGE(""https://docs.google.com/spreadsheets/d/1eHaY18a8A9IcSdp1K8H6x8fbOy06t2VsZHhMHf-1x7Y/edit?usp=sharing"",""แผน!AO35"")"),8000)</f>
        <v>8000</v>
      </c>
      <c r="M217" s="428"/>
      <c r="N217" s="683">
        <v>0</v>
      </c>
      <c r="O217" s="525"/>
      <c r="P217" s="428"/>
    </row>
    <row r="218" spans="1:16" ht="19.5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IFERROR(__xludf.DUMMYFUNCTION("IMPORTRANGE(""https://docs.google.com/spreadsheets/d/1eHaY18a8A9IcSdp1K8H6x8fbOy06t2VsZHhMHf-1x7Y/edit?usp=sharing"",""แผน!AP35"")"),1)</f>
        <v>1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IFERROR(__xludf.DUMMYFUNCTION("IMPORTRANGE(""https://docs.google.com/spreadsheets/d/1eHaY18a8A9IcSdp1K8H6x8fbOy06t2VsZHhMHf-1x7Y/edit?usp=sharing"",""แผน!AP35"")"),1)</f>
        <v>1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10000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4500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2" t="s">
        <v>156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IFERROR(__xludf.DUMMYFUNCTION("IMPORTRANGE(""https://docs.google.com/spreadsheets/d/1eHaY18a8A9IcSdp1K8H6x8fbOy06t2VsZHhMHf-1x7Y/edit?usp=sharing"",""แผน!AR35"")"),3000)</f>
        <v>3000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IFERROR(__xludf.DUMMYFUNCTION("IMPORTRANGE(""https://docs.google.com/spreadsheets/d/1eHaY18a8A9IcSdp1K8H6x8fbOy06t2VsZHhMHf-1x7Y/edit?usp=sharing"",""แผน!AS35"")"),1500)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IFERROR(__xludf.DUMMYFUNCTION("IMPORTRANGE(""https://docs.google.com/spreadsheets/d/1eHaY18a8A9IcSdp1K8H6x8fbOy06t2VsZHhMHf-1x7Y/edit?usp=sharing"",""แผน!AT35"")"),0)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IFERROR(__xludf.DUMMYFUNCTION("IMPORTRANGE(""https://docs.google.com/spreadsheets/d/1eHaY18a8A9IcSdp1K8H6x8fbOy06t2VsZHhMHf-1x7Y/edit?usp=sharing"",""แผน!AV35"")"),10000)</f>
        <v>10000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IFERROR(__xludf.DUMMYFUNCTION("IMPORTRANGE(""https://docs.google.com/spreadsheets/d/1eHaY18a8A9IcSdp1K8H6x8fbOy06t2VsZHhMHf-1x7Y/edit?usp=sharing"",""แผน!AV35"")"),10000)</f>
        <v>10000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IFERROR(__xludf.DUMMYFUNCTION("IMPORTRANGE(""https://docs.google.com/spreadsheets/d/1eHaY18a8A9IcSdp1K8H6x8fbOy06t2VsZHhMHf-1x7Y/edit?usp=sharing"",""แผน!AU35"")"),0)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432"/>
      <c r="B231" s="434"/>
      <c r="C231" s="682" t="s">
        <v>99</v>
      </c>
      <c r="D231" s="433"/>
      <c r="E231" s="433"/>
      <c r="F231" s="433"/>
      <c r="G231" s="436"/>
      <c r="H231" s="437" t="s">
        <v>33</v>
      </c>
      <c r="I231" s="438">
        <f ca="1">I242+I253</f>
        <v>0</v>
      </c>
      <c r="J231" s="438">
        <f>J242+J253</f>
        <v>0</v>
      </c>
      <c r="K231" s="439">
        <f ca="1">IF(I231&gt;0,J231*100/I231,0)</f>
        <v>0</v>
      </c>
      <c r="L231" s="571"/>
      <c r="M231" s="571"/>
      <c r="N231" s="571"/>
      <c r="O231" s="571"/>
      <c r="P231" s="571"/>
    </row>
    <row r="232" spans="1:16" ht="19.5" hidden="1" x14ac:dyDescent="0.3">
      <c r="A232" s="535"/>
      <c r="B232" s="418"/>
      <c r="C232" s="570" t="s">
        <v>16</v>
      </c>
      <c r="D232" s="579" t="s">
        <v>17</v>
      </c>
      <c r="E232" s="418"/>
      <c r="F232" s="418"/>
      <c r="G232" s="422"/>
      <c r="H232" s="681" t="s">
        <v>12</v>
      </c>
      <c r="I232" s="526"/>
      <c r="J232" s="526"/>
      <c r="K232" s="525"/>
      <c r="L232" s="577">
        <f ca="1">L243+L254</f>
        <v>0</v>
      </c>
      <c r="M232" s="428"/>
      <c r="N232" s="577">
        <f>N243+N254</f>
        <v>0</v>
      </c>
      <c r="O232" s="428"/>
      <c r="P232" s="428"/>
    </row>
    <row r="233" spans="1:16" ht="18.75" hidden="1" x14ac:dyDescent="0.25">
      <c r="A233" s="535"/>
      <c r="B233" s="419"/>
      <c r="C233" s="418"/>
      <c r="D233" s="293" t="s">
        <v>80</v>
      </c>
      <c r="E233" s="418"/>
      <c r="F233" s="418"/>
      <c r="G233" s="422"/>
      <c r="H233" s="576" t="s">
        <v>12</v>
      </c>
      <c r="I233" s="526"/>
      <c r="J233" s="526"/>
      <c r="K233" s="525"/>
      <c r="L233" s="425">
        <f ca="1">L244+L255</f>
        <v>0</v>
      </c>
      <c r="M233" s="428"/>
      <c r="N233" s="425">
        <f>N244+N255</f>
        <v>0</v>
      </c>
      <c r="O233" s="428"/>
      <c r="P233" s="428"/>
    </row>
    <row r="234" spans="1:16" ht="18.75" hidden="1" x14ac:dyDescent="0.25">
      <c r="A234" s="417"/>
      <c r="B234" s="419"/>
      <c r="C234" s="419"/>
      <c r="D234" s="293" t="s">
        <v>82</v>
      </c>
      <c r="E234" s="418"/>
      <c r="F234" s="418"/>
      <c r="G234" s="422"/>
      <c r="H234" s="576" t="s">
        <v>12</v>
      </c>
      <c r="I234" s="427"/>
      <c r="J234" s="427"/>
      <c r="K234" s="428"/>
      <c r="L234" s="425">
        <f ca="1">L245+L256</f>
        <v>0</v>
      </c>
      <c r="M234" s="428"/>
      <c r="N234" s="425">
        <f>N245+N256</f>
        <v>0</v>
      </c>
      <c r="O234" s="428"/>
      <c r="P234" s="428"/>
    </row>
    <row r="235" spans="1:16" ht="18.75" hidden="1" x14ac:dyDescent="0.25">
      <c r="A235" s="417"/>
      <c r="B235" s="419"/>
      <c r="C235" s="419"/>
      <c r="D235" s="293" t="s">
        <v>100</v>
      </c>
      <c r="E235" s="418"/>
      <c r="F235" s="418"/>
      <c r="G235" s="422"/>
      <c r="H235" s="576" t="s">
        <v>12</v>
      </c>
      <c r="I235" s="427"/>
      <c r="J235" s="427"/>
      <c r="K235" s="428"/>
      <c r="L235" s="425">
        <f ca="1">L246+L257</f>
        <v>0</v>
      </c>
      <c r="M235" s="428"/>
      <c r="N235" s="425">
        <f>N246+N257</f>
        <v>0</v>
      </c>
      <c r="O235" s="428"/>
      <c r="P235" s="428"/>
    </row>
    <row r="236" spans="1:16" ht="18.75" hidden="1" x14ac:dyDescent="0.25">
      <c r="A236" s="417"/>
      <c r="B236" s="419"/>
      <c r="C236" s="419"/>
      <c r="D236" s="293" t="s">
        <v>101</v>
      </c>
      <c r="E236" s="418"/>
      <c r="F236" s="418"/>
      <c r="G236" s="422"/>
      <c r="H236" s="576" t="s">
        <v>12</v>
      </c>
      <c r="I236" s="427"/>
      <c r="J236" s="427"/>
      <c r="K236" s="428"/>
      <c r="L236" s="425">
        <f ca="1">L247+L258</f>
        <v>0</v>
      </c>
      <c r="M236" s="428"/>
      <c r="N236" s="425">
        <f>N247+N258</f>
        <v>0</v>
      </c>
      <c r="O236" s="428"/>
      <c r="P236" s="428"/>
    </row>
    <row r="237" spans="1:16" ht="19.5" hidden="1" x14ac:dyDescent="0.3">
      <c r="A237" s="532"/>
      <c r="B237" s="430"/>
      <c r="C237" s="680" t="s">
        <v>16</v>
      </c>
      <c r="D237" s="569" t="s">
        <v>36</v>
      </c>
      <c r="E237" s="529"/>
      <c r="F237" s="529"/>
      <c r="G237" s="528"/>
      <c r="H237" s="527"/>
      <c r="I237" s="526"/>
      <c r="J237" s="427"/>
      <c r="K237" s="428"/>
      <c r="L237" s="428"/>
      <c r="M237" s="428"/>
      <c r="N237" s="428"/>
      <c r="O237" s="525"/>
      <c r="P237" s="525"/>
    </row>
    <row r="238" spans="1:16" ht="18.75" hidden="1" x14ac:dyDescent="0.25">
      <c r="A238" s="532"/>
      <c r="B238" s="430"/>
      <c r="C238" s="430"/>
      <c r="D238" s="421" t="s">
        <v>102</v>
      </c>
      <c r="E238" s="420"/>
      <c r="F238" s="420"/>
      <c r="G238" s="527"/>
      <c r="H238" s="566" t="s">
        <v>33</v>
      </c>
      <c r="I238" s="424">
        <f ca="1">I249+I260</f>
        <v>0</v>
      </c>
      <c r="J238" s="424">
        <f>J249+J260</f>
        <v>0</v>
      </c>
      <c r="K238" s="425">
        <f ca="1">IF(I238&gt;0,J238*100/I238,0)</f>
        <v>0</v>
      </c>
      <c r="L238" s="428"/>
      <c r="M238" s="428"/>
      <c r="N238" s="428"/>
      <c r="O238" s="428"/>
      <c r="P238" s="428"/>
    </row>
    <row r="239" spans="1:16" ht="18.75" hidden="1" x14ac:dyDescent="0.25">
      <c r="A239" s="532"/>
      <c r="B239" s="430"/>
      <c r="C239" s="430"/>
      <c r="D239" s="679" t="s">
        <v>41</v>
      </c>
      <c r="E239" s="420"/>
      <c r="F239" s="420"/>
      <c r="G239" s="527"/>
      <c r="H239" s="527"/>
      <c r="I239" s="427"/>
      <c r="J239" s="427"/>
      <c r="K239" s="428"/>
      <c r="L239" s="428"/>
      <c r="M239" s="428"/>
      <c r="N239" s="428"/>
      <c r="O239" s="525"/>
      <c r="P239" s="525"/>
    </row>
    <row r="240" spans="1:16" ht="18.75" hidden="1" x14ac:dyDescent="0.25">
      <c r="A240" s="532"/>
      <c r="B240" s="430"/>
      <c r="C240" s="430"/>
      <c r="D240" s="430"/>
      <c r="E240" s="567" t="s">
        <v>103</v>
      </c>
      <c r="F240" s="420"/>
      <c r="G240" s="527"/>
      <c r="H240" s="566" t="s">
        <v>33</v>
      </c>
      <c r="I240" s="424">
        <f>I251+I262</f>
        <v>0</v>
      </c>
      <c r="J240" s="424">
        <f>J251+J262</f>
        <v>0</v>
      </c>
      <c r="K240" s="425">
        <f>IF(I240&gt;0,J240*100/I240,0)</f>
        <v>0</v>
      </c>
      <c r="L240" s="428"/>
      <c r="M240" s="428"/>
      <c r="N240" s="428"/>
      <c r="O240" s="428"/>
      <c r="P240" s="428"/>
    </row>
    <row r="241" spans="1:16" ht="18.75" hidden="1" x14ac:dyDescent="0.25">
      <c r="A241" s="532"/>
      <c r="B241" s="430"/>
      <c r="C241" s="430"/>
      <c r="D241" s="430"/>
      <c r="E241" s="567" t="s">
        <v>104</v>
      </c>
      <c r="F241" s="420"/>
      <c r="G241" s="527"/>
      <c r="H241" s="566" t="s">
        <v>54</v>
      </c>
      <c r="I241" s="424">
        <f>I252+I263</f>
        <v>0</v>
      </c>
      <c r="J241" s="424">
        <f>J252+J263</f>
        <v>0</v>
      </c>
      <c r="K241" s="425">
        <f>IF(I241&gt;0,J241*100/I241,0)</f>
        <v>0</v>
      </c>
      <c r="L241" s="428"/>
      <c r="M241" s="428"/>
      <c r="N241" s="428"/>
      <c r="O241" s="428"/>
      <c r="P241" s="428"/>
    </row>
    <row r="242" spans="1:16" ht="19.5" hidden="1" x14ac:dyDescent="0.3">
      <c r="A242" s="432"/>
      <c r="B242" s="434"/>
      <c r="C242" s="678" t="s">
        <v>105</v>
      </c>
      <c r="D242" s="433"/>
      <c r="E242" s="433"/>
      <c r="F242" s="433"/>
      <c r="G242" s="436"/>
      <c r="H242" s="677" t="s">
        <v>33</v>
      </c>
      <c r="I242" s="676">
        <f ca="1">I249</f>
        <v>0</v>
      </c>
      <c r="J242" s="676">
        <f>J249</f>
        <v>0</v>
      </c>
      <c r="K242" s="675">
        <f ca="1">IF(I242&gt;0,J242*100/I242,0)</f>
        <v>0</v>
      </c>
      <c r="L242" s="571"/>
      <c r="M242" s="571"/>
      <c r="N242" s="571"/>
      <c r="O242" s="571"/>
      <c r="P242" s="571"/>
    </row>
    <row r="243" spans="1:16" ht="19.5" hidden="1" x14ac:dyDescent="0.3">
      <c r="A243" s="535"/>
      <c r="B243" s="418"/>
      <c r="C243" s="531" t="s">
        <v>16</v>
      </c>
      <c r="D243" s="541" t="s">
        <v>17</v>
      </c>
      <c r="E243" s="418"/>
      <c r="F243" s="418"/>
      <c r="G243" s="422"/>
      <c r="H243" s="673" t="s">
        <v>12</v>
      </c>
      <c r="I243" s="526"/>
      <c r="J243" s="526"/>
      <c r="K243" s="525"/>
      <c r="L243" s="539">
        <f ca="1">L244+L245+L246+L247</f>
        <v>0</v>
      </c>
      <c r="M243" s="428"/>
      <c r="N243" s="539">
        <f>N244+N245+N246+N247</f>
        <v>0</v>
      </c>
      <c r="O243" s="539">
        <f ca="1">IF(L243&gt;0,N243*100/L243,0)</f>
        <v>0</v>
      </c>
      <c r="P243" s="539">
        <f>IF(M243&gt;0,N243*100/M243,0)</f>
        <v>0</v>
      </c>
    </row>
    <row r="244" spans="1:16" ht="18.75" hidden="1" x14ac:dyDescent="0.25">
      <c r="A244" s="535"/>
      <c r="B244" s="419"/>
      <c r="C244" s="418"/>
      <c r="D244" s="534" t="s">
        <v>80</v>
      </c>
      <c r="E244" s="418"/>
      <c r="F244" s="418"/>
      <c r="G244" s="422"/>
      <c r="H244" s="536" t="s">
        <v>12</v>
      </c>
      <c r="I244" s="526"/>
      <c r="J244" s="526"/>
      <c r="K244" s="525"/>
      <c r="L244" s="521">
        <f ca="1">IFERROR(__xludf.DUMMYFUNCTION("IMPORTRANGE(""https://docs.google.com/spreadsheets/d/1eHaY18a8A9IcSdp1K8H6x8fbOy06t2VsZHhMHf-1x7Y/edit?usp=sharing"",""แผน!AX35"")"),0)</f>
        <v>0</v>
      </c>
      <c r="M244" s="428"/>
      <c r="N244" s="672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34" t="s">
        <v>82</v>
      </c>
      <c r="E245" s="418"/>
      <c r="F245" s="418"/>
      <c r="G245" s="422"/>
      <c r="H245" s="536" t="s">
        <v>12</v>
      </c>
      <c r="I245" s="427"/>
      <c r="J245" s="427"/>
      <c r="K245" s="428"/>
      <c r="L245" s="521">
        <f ca="1">IFERROR(__xludf.DUMMYFUNCTION("IMPORTRANGE(""https://docs.google.com/spreadsheets/d/1eHaY18a8A9IcSdp1K8H6x8fbOy06t2VsZHhMHf-1x7Y/edit?usp=sharing"",""แผน!AY35"")"),0)</f>
        <v>0</v>
      </c>
      <c r="M245" s="428"/>
      <c r="N245" s="672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34" t="s">
        <v>100</v>
      </c>
      <c r="E246" s="418"/>
      <c r="F246" s="418"/>
      <c r="G246" s="422"/>
      <c r="H246" s="536" t="s">
        <v>12</v>
      </c>
      <c r="I246" s="427"/>
      <c r="J246" s="427"/>
      <c r="K246" s="428"/>
      <c r="L246" s="521">
        <f ca="1">IFERROR(__xludf.DUMMYFUNCTION("IMPORTRANGE(""https://docs.google.com/spreadsheets/d/1eHaY18a8A9IcSdp1K8H6x8fbOy06t2VsZHhMHf-1x7Y/edit?usp=sharing"",""แผน!AZ35"")"),0)</f>
        <v>0</v>
      </c>
      <c r="M246" s="428"/>
      <c r="N246" s="672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34" t="s">
        <v>101</v>
      </c>
      <c r="E247" s="418"/>
      <c r="F247" s="418"/>
      <c r="G247" s="422"/>
      <c r="H247" s="536" t="s">
        <v>12</v>
      </c>
      <c r="I247" s="427"/>
      <c r="J247" s="427"/>
      <c r="K247" s="428"/>
      <c r="L247" s="521">
        <f ca="1">IFERROR(__xludf.DUMMYFUNCTION("IMPORTRANGE(""https://docs.google.com/spreadsheets/d/1eHaY18a8A9IcSdp1K8H6x8fbOy06t2VsZHhMHf-1x7Y/edit?usp=sharing"",""แผน!BA35"")"),0)</f>
        <v>0</v>
      </c>
      <c r="M247" s="428"/>
      <c r="N247" s="672">
        <v>0</v>
      </c>
      <c r="O247" s="428"/>
      <c r="P247" s="428"/>
    </row>
    <row r="248" spans="1:16" ht="19.5" hidden="1" x14ac:dyDescent="0.3">
      <c r="A248" s="532"/>
      <c r="B248" s="430"/>
      <c r="C248" s="671" t="s">
        <v>16</v>
      </c>
      <c r="D248" s="530" t="s">
        <v>36</v>
      </c>
      <c r="E248" s="529"/>
      <c r="F248" s="529"/>
      <c r="G248" s="528"/>
      <c r="H248" s="527"/>
      <c r="I248" s="526"/>
      <c r="J248" s="427"/>
      <c r="K248" s="428"/>
      <c r="L248" s="428"/>
      <c r="M248" s="428"/>
      <c r="N248" s="428"/>
      <c r="O248" s="525"/>
      <c r="P248" s="525"/>
    </row>
    <row r="249" spans="1:16" ht="18.75" hidden="1" x14ac:dyDescent="0.25">
      <c r="A249" s="532"/>
      <c r="B249" s="430"/>
      <c r="C249" s="430"/>
      <c r="D249" s="524" t="s">
        <v>102</v>
      </c>
      <c r="E249" s="420"/>
      <c r="F249" s="420"/>
      <c r="G249" s="527"/>
      <c r="H249" s="668" t="s">
        <v>33</v>
      </c>
      <c r="I249" s="199">
        <f ca="1">IFERROR(__xludf.DUMMYFUNCTION("IMPORTRANGE(""https://docs.google.com/spreadsheets/d/1eHaY18a8A9IcSdp1K8H6x8fbOy06t2VsZHhMHf-1x7Y/edit?usp=sharing"",""แผน!BG35"")"),0)</f>
        <v>0</v>
      </c>
      <c r="J249" s="522">
        <v>0</v>
      </c>
      <c r="K249" s="521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2"/>
      <c r="B250" s="430"/>
      <c r="C250" s="430"/>
      <c r="D250" s="670" t="s">
        <v>41</v>
      </c>
      <c r="E250" s="420"/>
      <c r="F250" s="420"/>
      <c r="G250" s="527"/>
      <c r="H250" s="527"/>
      <c r="I250" s="427"/>
      <c r="J250" s="427"/>
      <c r="K250" s="428"/>
      <c r="L250" s="428"/>
      <c r="M250" s="428"/>
      <c r="N250" s="428"/>
      <c r="O250" s="525"/>
      <c r="P250" s="525"/>
    </row>
    <row r="251" spans="1:16" ht="18.75" hidden="1" x14ac:dyDescent="0.25">
      <c r="A251" s="532"/>
      <c r="B251" s="430"/>
      <c r="C251" s="430"/>
      <c r="D251" s="430"/>
      <c r="E251" s="669" t="s">
        <v>103</v>
      </c>
      <c r="F251" s="420"/>
      <c r="G251" s="527"/>
      <c r="H251" s="668" t="s">
        <v>33</v>
      </c>
      <c r="I251" s="199">
        <v>0</v>
      </c>
      <c r="J251" s="522">
        <v>0</v>
      </c>
      <c r="K251" s="521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2"/>
      <c r="B252" s="430"/>
      <c r="C252" s="430"/>
      <c r="D252" s="430"/>
      <c r="E252" s="669" t="s">
        <v>104</v>
      </c>
      <c r="F252" s="420"/>
      <c r="G252" s="527"/>
      <c r="H252" s="668" t="s">
        <v>54</v>
      </c>
      <c r="I252" s="199">
        <v>0</v>
      </c>
      <c r="J252" s="522">
        <v>0</v>
      </c>
      <c r="K252" s="521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78" t="s">
        <v>106</v>
      </c>
      <c r="D253" s="433"/>
      <c r="E253" s="433"/>
      <c r="F253" s="433"/>
      <c r="G253" s="436"/>
      <c r="H253" s="677" t="s">
        <v>33</v>
      </c>
      <c r="I253" s="676">
        <f ca="1">I260</f>
        <v>0</v>
      </c>
      <c r="J253" s="676">
        <f>J260</f>
        <v>0</v>
      </c>
      <c r="K253" s="675">
        <f ca="1">IF(I253&gt;0,J253*100/I253,0)</f>
        <v>0</v>
      </c>
      <c r="L253" s="571"/>
      <c r="M253" s="571"/>
      <c r="N253" s="571"/>
      <c r="O253" s="571"/>
      <c r="P253" s="571"/>
    </row>
    <row r="254" spans="1:16" ht="19.5" hidden="1" x14ac:dyDescent="0.3">
      <c r="A254" s="535"/>
      <c r="B254" s="418"/>
      <c r="C254" s="531" t="s">
        <v>16</v>
      </c>
      <c r="D254" s="674" t="s">
        <v>17</v>
      </c>
      <c r="E254" s="418"/>
      <c r="F254" s="418"/>
      <c r="G254" s="422"/>
      <c r="H254" s="673" t="s">
        <v>12</v>
      </c>
      <c r="I254" s="526"/>
      <c r="J254" s="526"/>
      <c r="K254" s="525"/>
      <c r="L254" s="539">
        <f ca="1">L255+L256+L257+L258</f>
        <v>0</v>
      </c>
      <c r="M254" s="428"/>
      <c r="N254" s="539">
        <f>N255+N256+N257+N258</f>
        <v>0</v>
      </c>
      <c r="O254" s="539">
        <f ca="1">IF(L254&gt;0,N254*100/L254,0)</f>
        <v>0</v>
      </c>
      <c r="P254" s="539">
        <f>IF(M254&gt;0,N254*100/M254,0)</f>
        <v>0</v>
      </c>
    </row>
    <row r="255" spans="1:16" ht="18.75" hidden="1" x14ac:dyDescent="0.25">
      <c r="A255" s="535"/>
      <c r="B255" s="419"/>
      <c r="C255" s="418"/>
      <c r="D255" s="534" t="s">
        <v>80</v>
      </c>
      <c r="E255" s="418"/>
      <c r="F255" s="418"/>
      <c r="G255" s="422"/>
      <c r="H255" s="536" t="s">
        <v>12</v>
      </c>
      <c r="I255" s="526"/>
      <c r="J255" s="526"/>
      <c r="K255" s="525"/>
      <c r="L255" s="521">
        <f ca="1">IFERROR(__xludf.DUMMYFUNCTION("IMPORTRANGE(""https://docs.google.com/spreadsheets/d/1eHaY18a8A9IcSdp1K8H6x8fbOy06t2VsZHhMHf-1x7Y/edit?usp=sharing"",""แผน!BB35"")"),0)</f>
        <v>0</v>
      </c>
      <c r="M255" s="428"/>
      <c r="N255" s="672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34" t="s">
        <v>82</v>
      </c>
      <c r="E256" s="418"/>
      <c r="F256" s="418"/>
      <c r="G256" s="422"/>
      <c r="H256" s="536" t="s">
        <v>12</v>
      </c>
      <c r="I256" s="427"/>
      <c r="J256" s="427"/>
      <c r="K256" s="428"/>
      <c r="L256" s="521">
        <f ca="1">IFERROR(__xludf.DUMMYFUNCTION("IMPORTRANGE(""https://docs.google.com/spreadsheets/d/1eHaY18a8A9IcSdp1K8H6x8fbOy06t2VsZHhMHf-1x7Y/edit?usp=sharing"",""แผน!BC35"")"),0)</f>
        <v>0</v>
      </c>
      <c r="M256" s="428"/>
      <c r="N256" s="672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34" t="s">
        <v>100</v>
      </c>
      <c r="E257" s="418"/>
      <c r="F257" s="418"/>
      <c r="G257" s="422"/>
      <c r="H257" s="536" t="s">
        <v>12</v>
      </c>
      <c r="I257" s="427"/>
      <c r="J257" s="427"/>
      <c r="K257" s="428"/>
      <c r="L257" s="521">
        <f ca="1">IFERROR(__xludf.DUMMYFUNCTION("IMPORTRANGE(""https://docs.google.com/spreadsheets/d/1eHaY18a8A9IcSdp1K8H6x8fbOy06t2VsZHhMHf-1x7Y/edit?usp=sharing"",""แผน!BD35"")"),0)</f>
        <v>0</v>
      </c>
      <c r="M257" s="428"/>
      <c r="N257" s="672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34" t="s">
        <v>101</v>
      </c>
      <c r="E258" s="418"/>
      <c r="F258" s="418"/>
      <c r="G258" s="422"/>
      <c r="H258" s="536" t="s">
        <v>12</v>
      </c>
      <c r="I258" s="427"/>
      <c r="J258" s="427"/>
      <c r="K258" s="428"/>
      <c r="L258" s="521">
        <f ca="1">IFERROR(__xludf.DUMMYFUNCTION("IMPORTRANGE(""https://docs.google.com/spreadsheets/d/1eHaY18a8A9IcSdp1K8H6x8fbOy06t2VsZHhMHf-1x7Y/edit?usp=sharing"",""แผน!BE35"")"),0)</f>
        <v>0</v>
      </c>
      <c r="M258" s="428"/>
      <c r="N258" s="672">
        <v>0</v>
      </c>
      <c r="O258" s="428"/>
      <c r="P258" s="428"/>
    </row>
    <row r="259" spans="1:16" ht="19.5" hidden="1" x14ac:dyDescent="0.3">
      <c r="A259" s="532"/>
      <c r="B259" s="430"/>
      <c r="C259" s="671" t="s">
        <v>16</v>
      </c>
      <c r="D259" s="530" t="s">
        <v>36</v>
      </c>
      <c r="E259" s="529"/>
      <c r="F259" s="529"/>
      <c r="G259" s="528"/>
      <c r="H259" s="527"/>
      <c r="I259" s="526"/>
      <c r="J259" s="427"/>
      <c r="K259" s="428"/>
      <c r="L259" s="428"/>
      <c r="M259" s="428"/>
      <c r="N259" s="428"/>
      <c r="O259" s="525"/>
      <c r="P259" s="525"/>
    </row>
    <row r="260" spans="1:16" ht="18.75" hidden="1" x14ac:dyDescent="0.25">
      <c r="A260" s="532"/>
      <c r="B260" s="430"/>
      <c r="C260" s="430"/>
      <c r="D260" s="524" t="s">
        <v>102</v>
      </c>
      <c r="E260" s="420"/>
      <c r="F260" s="420"/>
      <c r="G260" s="527"/>
      <c r="H260" s="668" t="s">
        <v>33</v>
      </c>
      <c r="I260" s="199">
        <f ca="1">IFERROR(__xludf.DUMMYFUNCTION("IMPORTRANGE(""https://docs.google.com/spreadsheets/d/1eHaY18a8A9IcSdp1K8H6x8fbOy06t2VsZHhMHf-1x7Y/edit?usp=sharing"",""แผน!BH35"")"),0)</f>
        <v>0</v>
      </c>
      <c r="J260" s="522">
        <v>0</v>
      </c>
      <c r="K260" s="521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2"/>
      <c r="B261" s="430"/>
      <c r="C261" s="430"/>
      <c r="D261" s="670" t="s">
        <v>41</v>
      </c>
      <c r="E261" s="420"/>
      <c r="F261" s="420"/>
      <c r="G261" s="527"/>
      <c r="H261" s="527"/>
      <c r="I261" s="427"/>
      <c r="J261" s="427"/>
      <c r="K261" s="428"/>
      <c r="L261" s="428"/>
      <c r="M261" s="428"/>
      <c r="N261" s="428"/>
      <c r="O261" s="525"/>
      <c r="P261" s="525"/>
    </row>
    <row r="262" spans="1:16" ht="18.75" hidden="1" x14ac:dyDescent="0.25">
      <c r="A262" s="532"/>
      <c r="B262" s="430"/>
      <c r="C262" s="430"/>
      <c r="D262" s="430"/>
      <c r="E262" s="669" t="s">
        <v>103</v>
      </c>
      <c r="F262" s="420"/>
      <c r="G262" s="527"/>
      <c r="H262" s="668" t="s">
        <v>33</v>
      </c>
      <c r="I262" s="427"/>
      <c r="J262" s="522">
        <v>0</v>
      </c>
      <c r="K262" s="521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2"/>
      <c r="B263" s="430"/>
      <c r="C263" s="430"/>
      <c r="D263" s="430"/>
      <c r="E263" s="669" t="s">
        <v>104</v>
      </c>
      <c r="F263" s="420"/>
      <c r="G263" s="527"/>
      <c r="H263" s="668" t="s">
        <v>54</v>
      </c>
      <c r="I263" s="427"/>
      <c r="J263" s="522">
        <v>0</v>
      </c>
      <c r="K263" s="521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IFERROR(__xludf.DUMMYFUNCTION("IMPORTRANGE(""https://docs.google.com/spreadsheets/d/1-uDff_7J0KD5mKrp0Vvzr7lt3OU09vwQwhkpOPPYv2Y/edit?usp=sharing"",""งบพรบ!DE35"")"),0)</f>
        <v>0</v>
      </c>
      <c r="M271" s="521">
        <f ca="1">IFERROR(__xludf.DUMMYFUNCTION("IMPORTRANGE(""https://docs.google.com/spreadsheets/d/1-uDff_7J0KD5mKrp0Vvzr7lt3OU09vwQwhkpOPPYv2Y/edit?usp=sharing"",""งบพรบ!DJ35"")"),0)</f>
        <v>0</v>
      </c>
      <c r="N271" s="521">
        <f ca="1">IFERROR(__xludf.DUMMYFUNCTION("IMPORTRANGE(""https://docs.google.com/spreadsheets/d/1-uDff_7J0KD5mKrp0Vvzr7lt3OU09vwQwhkpOPPYv2Y/edit?usp=sharing"",""งบพรบ!DL35"")"),0)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IFERROR(__xludf.DUMMYFUNCTION("IMPORTRANGE(""https://docs.google.com/spreadsheets/d/1-uDff_7J0KD5mKrp0Vvzr7lt3OU09vwQwhkpOPPYv2Y/edit?usp=sharing"",""งบพรบ!DH35"")"),0)</f>
        <v>0</v>
      </c>
      <c r="M274" s="521">
        <f ca="1">IFERROR(__xludf.DUMMYFUNCTION("IMPORTRANGE(""https://docs.google.com/spreadsheets/d/1-uDff_7J0KD5mKrp0Vvzr7lt3OU09vwQwhkpOPPYv2Y/edit?usp=sharing"",""งบพรบ!DK35"")"),0)</f>
        <v>0</v>
      </c>
      <c r="N274" s="521">
        <f ca="1">IFERROR(__xludf.DUMMYFUNCTION("IMPORTRANGE(""https://docs.google.com/spreadsheets/d/1-uDff_7J0KD5mKrp0Vvzr7lt3OU09vwQwhkpOPPYv2Y/edit?usp=sharing"",""งบพรบ!DM35"")"),0)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hidden="1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hidden="1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hidden="1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0</v>
      </c>
      <c r="J280" s="629">
        <f>J293</f>
        <v>0</v>
      </c>
      <c r="K280" s="628">
        <f ca="1">IF(I280&gt;0,J280*100/I280,0)</f>
        <v>0</v>
      </c>
      <c r="L280" s="627"/>
      <c r="M280" s="627"/>
      <c r="N280" s="627"/>
      <c r="O280" s="627"/>
      <c r="P280" s="627"/>
    </row>
    <row r="281" spans="1:16" ht="19.5" hidden="1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0</v>
      </c>
      <c r="J281" s="629">
        <f>J292</f>
        <v>0</v>
      </c>
      <c r="K281" s="628">
        <f ca="1">IF(I281&gt;0,J281*100/I281,0)</f>
        <v>0</v>
      </c>
      <c r="L281" s="627"/>
      <c r="M281" s="627"/>
      <c r="N281" s="627"/>
      <c r="O281" s="627"/>
      <c r="P281" s="627"/>
    </row>
    <row r="282" spans="1:16" ht="19.5" hidden="1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0</v>
      </c>
      <c r="M282" s="577">
        <f ca="1">M283+M284</f>
        <v>0</v>
      </c>
      <c r="N282" s="577">
        <f ca="1">N283+N284</f>
        <v>0</v>
      </c>
      <c r="O282" s="577">
        <f ca="1">IF(L282&gt;0,N282*100/L282,0)</f>
        <v>0</v>
      </c>
      <c r="P282" s="577">
        <f ca="1">IF(M282&gt;0,N282*100/M282,0)</f>
        <v>0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hidden="1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0</v>
      </c>
      <c r="M284" s="425">
        <f ca="1">M287+M290</f>
        <v>0</v>
      </c>
      <c r="N284" s="425">
        <f ca="1">N287+N290</f>
        <v>0</v>
      </c>
      <c r="O284" s="425">
        <f ca="1">IF(L284&gt;0,N284*100/L284,0)</f>
        <v>0</v>
      </c>
      <c r="P284" s="425">
        <f ca="1">IF(M284&gt;0,N284*100/M284,0)</f>
        <v>0</v>
      </c>
    </row>
    <row r="285" spans="1:16" ht="18.75" hidden="1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0</v>
      </c>
      <c r="M285" s="425">
        <f ca="1">M286+M287</f>
        <v>0</v>
      </c>
      <c r="N285" s="425">
        <f ca="1">N286+N287</f>
        <v>0</v>
      </c>
      <c r="O285" s="425">
        <f ca="1">IF(L285&gt;0,N285*100/L285,0)</f>
        <v>0</v>
      </c>
      <c r="P285" s="425">
        <f ca="1">IF(M285&gt;0,N285*100/M285,0)</f>
        <v>0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hidden="1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IFERROR(__xludf.DUMMYFUNCTION("IMPORTRANGE(""https://docs.google.com/spreadsheets/d/1-uDff_7J0KD5mKrp0Vvzr7lt3OU09vwQwhkpOPPYv2Y/edit?usp=sharing"",""งบพรบ!DO35"")"),0)</f>
        <v>0</v>
      </c>
      <c r="M287" s="425">
        <f ca="1">IFERROR(__xludf.DUMMYFUNCTION("IMPORTRANGE(""https://docs.google.com/spreadsheets/d/1-uDff_7J0KD5mKrp0Vvzr7lt3OU09vwQwhkpOPPYv2Y/edit?usp=sharing"",""งบพรบ!DT35"")"),0)</f>
        <v>0</v>
      </c>
      <c r="N287" s="425">
        <f ca="1">IFERROR(__xludf.DUMMYFUNCTION("IMPORTRANGE(""https://docs.google.com/spreadsheets/d/1-uDff_7J0KD5mKrp0Vvzr7lt3OU09vwQwhkpOPPYv2Y/edit?usp=sharing"",""งบพรบ!DV35"")"),0)</f>
        <v>0</v>
      </c>
      <c r="O287" s="425">
        <f ca="1">IF(L287&gt;0,N287*100/L287,0)</f>
        <v>0</v>
      </c>
      <c r="P287" s="425">
        <f ca="1">IF(M287&gt;0,N287*100/M287,0)</f>
        <v>0</v>
      </c>
    </row>
    <row r="288" spans="1:16" ht="18.75" hidden="1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hidden="1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IFERROR(__xludf.DUMMYFUNCTION("IMPORTRANGE(""https://docs.google.com/spreadsheets/d/1-uDff_7J0KD5mKrp0Vvzr7lt3OU09vwQwhkpOPPYv2Y/edit?usp=sharing"",""งบพรบ!DR35"")"),0)</f>
        <v>0</v>
      </c>
      <c r="M290" s="425">
        <f ca="1">IFERROR(__xludf.DUMMYFUNCTION("IMPORTRANGE(""https://docs.google.com/spreadsheets/d/1-uDff_7J0KD5mKrp0Vvzr7lt3OU09vwQwhkpOPPYv2Y/edit?usp=sharing"",""งบพรบ!DU35"")"),0)</f>
        <v>0</v>
      </c>
      <c r="N290" s="425">
        <f ca="1">IFERROR(__xludf.DUMMYFUNCTION("IMPORTRANGE(""https://docs.google.com/spreadsheets/d/1-uDff_7J0KD5mKrp0Vvzr7lt3OU09vwQwhkpOPPYv2Y/edit?usp=sharing"",""งบพรบ!DW35"")"),0)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hidden="1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hidden="1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IFERROR(__xludf.DUMMYFUNCTION("IMPORTRANGE(""https://docs.google.com/spreadsheets/d/1eHaY18a8A9IcSdp1K8H6x8fbOy06t2VsZHhMHf-1x7Y/edit?usp=sharing"",""แผน!EE35"")"),0)</f>
        <v>0</v>
      </c>
      <c r="J292" s="595">
        <v>0</v>
      </c>
      <c r="K292" s="621">
        <f ca="1">IF(I292&gt;0,J292*100/I292,0)</f>
        <v>0</v>
      </c>
      <c r="L292" s="525"/>
      <c r="M292" s="525"/>
      <c r="N292" s="525"/>
      <c r="O292" s="525"/>
      <c r="P292" s="525"/>
    </row>
    <row r="293" spans="1:16" ht="19.5" hidden="1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IFERROR(__xludf.DUMMYFUNCTION("IMPORTRANGE(""https://docs.google.com/spreadsheets/d/1eHaY18a8A9IcSdp1K8H6x8fbOy06t2VsZHhMHf-1x7Y/edit?usp=sharing"",""แผน!ED35"")"),0)</f>
        <v>0</v>
      </c>
      <c r="J293" s="625">
        <f>J296</f>
        <v>0</v>
      </c>
      <c r="K293" s="624">
        <f ca="1">IF(I293&gt;0,J293*100/I293,0)</f>
        <v>0</v>
      </c>
      <c r="L293" s="525"/>
      <c r="M293" s="525"/>
      <c r="N293" s="525"/>
      <c r="O293" s="525"/>
      <c r="P293" s="525"/>
    </row>
    <row r="294" spans="1:16" ht="19.5" hidden="1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hidden="1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IFERROR(__xludf.DUMMYFUNCTION("IMPORTRANGE(""https://docs.google.com/spreadsheets/d/1eHaY18a8A9IcSdp1K8H6x8fbOy06t2VsZHhMHf-1x7Y/edit?usp=sharing"",""แผน!ED35"")"),0)</f>
        <v>0</v>
      </c>
      <c r="J295" s="595">
        <v>0</v>
      </c>
      <c r="K295" s="621">
        <f ca="1">IF(I295&gt;0,J295*100/I295,0)</f>
        <v>0</v>
      </c>
      <c r="L295" s="525"/>
      <c r="M295" s="525"/>
      <c r="N295" s="525"/>
      <c r="O295" s="525"/>
      <c r="P295" s="525"/>
    </row>
    <row r="296" spans="1:16" ht="19.5" hidden="1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IFERROR(__xludf.DUMMYFUNCTION("IMPORTRANGE(""https://docs.google.com/spreadsheets/d/1eHaY18a8A9IcSdp1K8H6x8fbOy06t2VsZHhMHf-1x7Y/edit?usp=sharing"",""แผน!ED35"")"),0)</f>
        <v>0</v>
      </c>
      <c r="J296" s="595">
        <v>0</v>
      </c>
      <c r="K296" s="621">
        <f ca="1">IF(I296&gt;0,J296*100/I296,0)</f>
        <v>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15</v>
      </c>
      <c r="J302" s="598">
        <f>J314</f>
        <v>0</v>
      </c>
      <c r="K302" s="597">
        <f ca="1">IF(I302&gt;0,J302*100/I302,0)</f>
        <v>0</v>
      </c>
      <c r="L302" s="580"/>
      <c r="M302" s="580"/>
      <c r="N302" s="580"/>
      <c r="O302" s="580"/>
      <c r="P302" s="580"/>
    </row>
    <row r="303" spans="1:16" ht="19.5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166000</v>
      </c>
      <c r="M303" s="577">
        <f ca="1">M304+M305</f>
        <v>123300</v>
      </c>
      <c r="N303" s="577">
        <f ca="1">N304+N305</f>
        <v>27600</v>
      </c>
      <c r="O303" s="577">
        <f ca="1">IF(L303&gt;0,N303*100/L303,0)</f>
        <v>16.626506024096386</v>
      </c>
      <c r="P303" s="577">
        <f ca="1">IF(M303&gt;0,N303*100/M303,0)</f>
        <v>22.384428223844282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166000</v>
      </c>
      <c r="M305" s="425">
        <f ca="1">M308+M311</f>
        <v>123300</v>
      </c>
      <c r="N305" s="425">
        <f ca="1">N308+N311</f>
        <v>27600</v>
      </c>
      <c r="O305" s="425">
        <f ca="1">IF(L305&gt;0,N305*100/L305,0)</f>
        <v>16.626506024096386</v>
      </c>
      <c r="P305" s="425">
        <f ca="1">IF(M305&gt;0,N305*100/M305,0)</f>
        <v>22.384428223844282</v>
      </c>
    </row>
    <row r="306" spans="1:16" ht="18.75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166000</v>
      </c>
      <c r="M306" s="425">
        <f ca="1">M307+M308</f>
        <v>123300</v>
      </c>
      <c r="N306" s="425">
        <f ca="1">N307+N308</f>
        <v>27600</v>
      </c>
      <c r="O306" s="425">
        <f ca="1">IF(L306&gt;0,N306*100/L306,0)</f>
        <v>16.626506024096386</v>
      </c>
      <c r="P306" s="425">
        <f ca="1">IF(M306&gt;0,N306*100/M306,0)</f>
        <v>22.384428223844282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IFERROR(__xludf.DUMMYFUNCTION("IMPORTRANGE(""https://docs.google.com/spreadsheets/d/1-uDff_7J0KD5mKrp0Vvzr7lt3OU09vwQwhkpOPPYv2Y/edit?usp=sharing"",""งบพรบ!DY35"")"),166000)</f>
        <v>166000</v>
      </c>
      <c r="M308" s="425">
        <f ca="1">IFERROR(__xludf.DUMMYFUNCTION("IMPORTRANGE(""https://docs.google.com/spreadsheets/d/1-uDff_7J0KD5mKrp0Vvzr7lt3OU09vwQwhkpOPPYv2Y/edit?usp=sharing"",""งบพรบ!ED35"")"),123300)</f>
        <v>123300</v>
      </c>
      <c r="N308" s="425">
        <f ca="1">IFERROR(__xludf.DUMMYFUNCTION("IMPORTRANGE(""https://docs.google.com/spreadsheets/d/1-uDff_7J0KD5mKrp0Vvzr7lt3OU09vwQwhkpOPPYv2Y/edit?usp=sharing"",""งบพรบ!EF35"")"),27600)</f>
        <v>27600</v>
      </c>
      <c r="O308" s="425">
        <f ca="1">IF(L308&gt;0,N308*100/L308,0)</f>
        <v>16.626506024096386</v>
      </c>
      <c r="P308" s="425">
        <f ca="1">IF(M308&gt;0,N308*100/M308,0)</f>
        <v>22.384428223844282</v>
      </c>
    </row>
    <row r="309" spans="1:16" ht="18.75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IFERROR(__xludf.DUMMYFUNCTION("IMPORTRANGE(""https://docs.google.com/spreadsheets/d/1-uDff_7J0KD5mKrp0Vvzr7lt3OU09vwQwhkpOPPYv2Y/edit?usp=sharing"",""งบพรบ!EB35"")"),0)</f>
        <v>0</v>
      </c>
      <c r="M311" s="425">
        <f ca="1">IFERROR(__xludf.DUMMYFUNCTION("IMPORTRANGE(""https://docs.google.com/spreadsheets/d/1-uDff_7J0KD5mKrp0Vvzr7lt3OU09vwQwhkpOPPYv2Y/edit?usp=sharing"",""งบพรบ!EE35"")"),0)</f>
        <v>0</v>
      </c>
      <c r="N311" s="425">
        <f ca="1">IFERROR(__xludf.DUMMYFUNCTION("IMPORTRANGE(""https://docs.google.com/spreadsheets/d/1-uDff_7J0KD5mKrp0Vvzr7lt3OU09vwQwhkpOPPYv2Y/edit?usp=sharing"",""งบพรบ!EG35"")"),0)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0</v>
      </c>
      <c r="K313" s="428"/>
      <c r="L313" s="428"/>
      <c r="M313" s="428"/>
      <c r="N313" s="428"/>
      <c r="O313" s="428"/>
      <c r="P313" s="428"/>
    </row>
    <row r="314" spans="1:16" ht="18.75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IFERROR(__xludf.DUMMYFUNCTION("IMPORTRANGE(""https://docs.google.com/spreadsheets/d/1eHaY18a8A9IcSdp1K8H6x8fbOy06t2VsZHhMHf-1x7Y/edit?usp=sharing"",""แผน!EF35"")"),15)</f>
        <v>15</v>
      </c>
      <c r="J314" s="595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IFERROR(__xludf.DUMMYFUNCTION("IMPORTRANGE(""https://docs.google.com/spreadsheets/d/1eHaY18a8A9IcSdp1K8H6x8fbOy06t2VsZHhMHf-1x7Y/edit?usp=sharing"",""แผน!EG35"")"),3)</f>
        <v>3</v>
      </c>
      <c r="J315" s="595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IFERROR(__xludf.DUMMYFUNCTION("IMPORTRANGE(""https://docs.google.com/spreadsheets/d/1eHaY18a8A9IcSdp1K8H6x8fbOy06t2VsZHhMHf-1x7Y/edit?usp=sharing"",""แผน!EH35"")"),15)</f>
        <v>15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424">
        <f ca="1">IFERROR(__xludf.DUMMYFUNCTION("IMPORTRANGE(""https://docs.google.com/spreadsheets/d/1eHaY18a8A9IcSdp1K8H6x8fbOy06t2VsZHhMHf-1x7Y/edit?usp=sharing"",""แผน!EI35"")"),3)</f>
        <v>3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hidden="1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0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hidden="1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0</v>
      </c>
      <c r="M320" s="577">
        <f ca="1">M321+M322</f>
        <v>0</v>
      </c>
      <c r="N320" s="577">
        <f ca="1">N321+N322</f>
        <v>0</v>
      </c>
      <c r="O320" s="577">
        <f ca="1">IF(L320&gt;0,N320*100/L320,0)</f>
        <v>0</v>
      </c>
      <c r="P320" s="577">
        <f ca="1">IF(M320&gt;0,N320*100/M320,0)</f>
        <v>0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hidden="1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hidden="1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IFERROR(__xludf.DUMMYFUNCTION("IMPORTRANGE(""https://docs.google.com/spreadsheets/d/1-uDff_7J0KD5mKrp0Vvzr7lt3OU09vwQwhkpOPPYv2Y/edit?usp=sharing"",""งบพรบ!EI35"")"),0)</f>
        <v>0</v>
      </c>
      <c r="M325" s="425">
        <f ca="1">IFERROR(__xludf.DUMMYFUNCTION("IMPORTRANGE(""https://docs.google.com/spreadsheets/d/1-uDff_7J0KD5mKrp0Vvzr7lt3OU09vwQwhkpOPPYv2Y/edit?usp=sharing"",""งบพรบ!EN35"")"),0)</f>
        <v>0</v>
      </c>
      <c r="N325" s="425">
        <f ca="1">IFERROR(__xludf.DUMMYFUNCTION("IMPORTRANGE(""https://docs.google.com/spreadsheets/d/1-uDff_7J0KD5mKrp0Vvzr7lt3OU09vwQwhkpOPPYv2Y/edit?usp=sharing"",""งบพรบ!EP35"")"),0)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hidden="1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IFERROR(__xludf.DUMMYFUNCTION("IMPORTRANGE(""https://docs.google.com/spreadsheets/d/1-uDff_7J0KD5mKrp0Vvzr7lt3OU09vwQwhkpOPPYv2Y/edit?usp=sharing"",""งบพรบ!EL35"")"),0)</f>
        <v>0</v>
      </c>
      <c r="M328" s="425">
        <f ca="1">IFERROR(__xludf.DUMMYFUNCTION("IMPORTRANGE(""https://docs.google.com/spreadsheets/d/1-uDff_7J0KD5mKrp0Vvzr7lt3OU09vwQwhkpOPPYv2Y/edit?usp=sharing"",""งบพรบ!EO35"")"),0)</f>
        <v>0</v>
      </c>
      <c r="N328" s="425">
        <f ca="1">IFERROR(__xludf.DUMMYFUNCTION("IMPORTRANGE(""https://docs.google.com/spreadsheets/d/1-uDff_7J0KD5mKrp0Vvzr7lt3OU09vwQwhkpOPPYv2Y/edit?usp=sharing"",""งบพรบ!EQ35"")"),0)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hidden="1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IFERROR(__xludf.DUMMYFUNCTION("IMPORTRANGE(""https://docs.google.com/spreadsheets/d/1eHaY18a8A9IcSdp1K8H6x8fbOy06t2VsZHhMHf-1x7Y/edit?usp=sharing"",""แผน!EJ35"")"),0)</f>
        <v>0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860</v>
      </c>
      <c r="J332" s="402">
        <f ca="1">J344+J347+J348+J349+J353</f>
        <v>1360</v>
      </c>
      <c r="K332" s="403">
        <f ca="1">IF(I332&gt;0,J332*100/I332,0)</f>
        <v>158.13953488372093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108000</v>
      </c>
      <c r="M333" s="577">
        <f ca="1">M334+M335</f>
        <v>85750</v>
      </c>
      <c r="N333" s="577">
        <f ca="1">N334+N335</f>
        <v>12340</v>
      </c>
      <c r="O333" s="577">
        <f ca="1">IF(L333&gt;0,N333*100/L333,0)</f>
        <v>11.425925925925926</v>
      </c>
      <c r="P333" s="577">
        <f ca="1">IF(M333&gt;0,N333*100/M333,0)</f>
        <v>14.390670553935861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108000</v>
      </c>
      <c r="M335" s="425">
        <f ca="1">M338+M341</f>
        <v>85750</v>
      </c>
      <c r="N335" s="425">
        <f ca="1">N338+N341</f>
        <v>12340</v>
      </c>
      <c r="O335" s="425">
        <f ca="1">IF(L335&gt;0,N335*100/L335,0)</f>
        <v>11.425925925925926</v>
      </c>
      <c r="P335" s="425">
        <f ca="1">IF(M335&gt;0,N335*100/M335,0)</f>
        <v>14.390670553935861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108000</v>
      </c>
      <c r="M336" s="425">
        <f ca="1">M337+M338</f>
        <v>85750</v>
      </c>
      <c r="N336" s="425">
        <f ca="1">N337+N338</f>
        <v>12340</v>
      </c>
      <c r="O336" s="425">
        <f ca="1">IF(L336&gt;0,N336*100/L336,0)</f>
        <v>11.425925925925926</v>
      </c>
      <c r="P336" s="425">
        <f ca="1">IF(M336&gt;0,N336*100/M336,0)</f>
        <v>14.390670553935861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IFERROR(__xludf.DUMMYFUNCTION("IMPORTRANGE(""https://docs.google.com/spreadsheets/d/1-uDff_7J0KD5mKrp0Vvzr7lt3OU09vwQwhkpOPPYv2Y/edit?usp=sharing"",""งบพรบ!ES35"")"),108000)</f>
        <v>108000</v>
      </c>
      <c r="M338" s="425">
        <f ca="1">IFERROR(__xludf.DUMMYFUNCTION("IMPORTRANGE(""https://docs.google.com/spreadsheets/d/1-uDff_7J0KD5mKrp0Vvzr7lt3OU09vwQwhkpOPPYv2Y/edit?usp=sharing"",""งบพรบ!EX35"")"),85750)</f>
        <v>85750</v>
      </c>
      <c r="N338" s="425">
        <f ca="1">IFERROR(__xludf.DUMMYFUNCTION("IMPORTRANGE(""https://docs.google.com/spreadsheets/d/1-uDff_7J0KD5mKrp0Vvzr7lt3OU09vwQwhkpOPPYv2Y/edit?usp=sharing"",""งบพรบ!EZ35"")"),12340)</f>
        <v>12340</v>
      </c>
      <c r="O338" s="425">
        <f ca="1">IF(L338&gt;0,N338*100/L338,0)</f>
        <v>11.425925925925926</v>
      </c>
      <c r="P338" s="425">
        <f ca="1">IF(M338&gt;0,N338*100/M338,0)</f>
        <v>14.390670553935861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IFERROR(__xludf.DUMMYFUNCTION("IMPORTRANGE(""https://docs.google.com/spreadsheets/d/1-uDff_7J0KD5mKrp0Vvzr7lt3OU09vwQwhkpOPPYv2Y/edit?usp=sharing"",""งบพรบ!EV35"")"),0)</f>
        <v>0</v>
      </c>
      <c r="M341" s="425">
        <f ca="1">IFERROR(__xludf.DUMMYFUNCTION("IMPORTRANGE(""https://docs.google.com/spreadsheets/d/1-uDff_7J0KD5mKrp0Vvzr7lt3OU09vwQwhkpOPPYv2Y/edit?usp=sharing"",""งบพรบ!EY35"")"),0)</f>
        <v>0</v>
      </c>
      <c r="N341" s="425">
        <f ca="1">IFERROR(__xludf.DUMMYFUNCTION("IMPORTRANGE(""https://docs.google.com/spreadsheets/d/1-uDff_7J0KD5mKrp0Vvzr7lt3OU09vwQwhkpOPPYv2Y/edit?usp=sharing"",""งบพรบ!FA35"")"),0)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269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IFERROR(__xludf.DUMMYFUNCTION("IMPORTRANGE(""https://docs.google.com/spreadsheets/d/1eHaY18a8A9IcSdp1K8H6x8fbOy06t2VsZHhMHf-1x7Y/edit?usp=sharing"",""แผน!EK35"")"),860)</f>
        <v>860</v>
      </c>
      <c r="J344" s="424">
        <f ca="1">IFERROR(__xludf.DUMMYFUNCTION("IMPORTRANGE(""https://docs.google.com/spreadsheets/d/1awYsYK3VOup2i3Pq_Yjnu8DRu_mYwSBnCR2QPthd0rU/edit?usp=sharing"",""ศูนย์ยกเว้นโฉนด!D35"")"),269)</f>
        <v>269</v>
      </c>
      <c r="K344" s="425">
        <f ca="1">IF(I344&gt;0,J344*100/I344,0)</f>
        <v>31.279069767441861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IFERROR(__xludf.DUMMYFUNCTION("IMPORTRANGE(""https://docs.google.com/spreadsheets/d/1eHaY18a8A9IcSdp1K8H6x8fbOy06t2VsZHhMHf-1x7Y/edit?usp=sharing"",""แผน!EL35"")"),4)</f>
        <v>4</v>
      </c>
      <c r="J346" s="424">
        <f ca="1">IFERROR(__xludf.DUMMYFUNCTION("IMPORTRANGE(""https://docs.google.com/spreadsheets/d/1awYsYK3VOup2i3Pq_Yjnu8DRu_mYwSBnCR2QPthd0rU/edit?usp=sharing"",""ศูนย์รวม!E35"")"),5)</f>
        <v>5</v>
      </c>
      <c r="K346" s="425">
        <f ca="1">IF(I346&gt;0,J346*100/I346,0)</f>
        <v>125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IFERROR(__xludf.DUMMYFUNCTION("IMPORTRANGE(""https://docs.google.com/spreadsheets/d/1awYsYK3VOup2i3Pq_Yjnu8DRu_mYwSBnCR2QPthd0rU/edit?usp=sharing"",""ศูนย์ยกเว้นโฉนด!F35"")"),0)</f>
        <v>0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IFERROR(__xludf.DUMMYFUNCTION("IMPORTRANGE(""https://docs.google.com/spreadsheets/d/1awYsYK3VOup2i3Pq_Yjnu8DRu_mYwSBnCR2QPthd0rU/edit?usp=sharing"",""ศูนย์ยกเว้นโฉนด!G35"")"),0)</f>
        <v>0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IFERROR(__xludf.DUMMYFUNCTION("IMPORTRANGE(""https://docs.google.com/spreadsheets/d/1awYsYK3VOup2i3Pq_Yjnu8DRu_mYwSBnCR2QPthd0rU/edit?usp=sharing"",""ศูนย์ยกเว้นโฉนด!H35"")"),0)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1222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IFERROR(__xludf.DUMMYFUNCTION("IMPORTRANGE(""https://docs.google.com/spreadsheets/d/1awYsYK3VOup2i3Pq_Yjnu8DRu_mYwSBnCR2QPthd0rU/edit?usp=sharing"",""โฉนดM3!G35"")"),131)</f>
        <v>131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IFERROR(__xludf.DUMMYFUNCTION("IMPORTRANGE(""https://docs.google.com/spreadsheets/d/1awYsYK3VOup2i3Pq_Yjnu8DRu_mYwSBnCR2QPthd0rU/edit?usp=sharing"",""โฉนดM3!H35"")"),1091)</f>
        <v>1091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481855</v>
      </c>
      <c r="M356" s="577">
        <f ca="1">M357+M358</f>
        <v>391855</v>
      </c>
      <c r="N356" s="577">
        <f ca="1">N357+N358</f>
        <v>147250</v>
      </c>
      <c r="O356" s="577">
        <f ca="1">IF(L356&gt;0,N356*100/L356,0)</f>
        <v>30.558985586950431</v>
      </c>
      <c r="P356" s="577">
        <f ca="1">IF(M356&gt;0,N356*100/M356,0)</f>
        <v>37.5776754156512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481855</v>
      </c>
      <c r="M358" s="425">
        <f ca="1">M361+M364</f>
        <v>391855</v>
      </c>
      <c r="N358" s="425">
        <f ca="1">N361+N364</f>
        <v>147250</v>
      </c>
      <c r="O358" s="425">
        <f ca="1">IF(L358&gt;0,N358*100/L358,0)</f>
        <v>30.558985586950431</v>
      </c>
      <c r="P358" s="425">
        <f ca="1">IF(M358&gt;0,N358*100/M358,0)</f>
        <v>37.5776754156512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481855</v>
      </c>
      <c r="M359" s="425">
        <f ca="1">M360+M361</f>
        <v>391855</v>
      </c>
      <c r="N359" s="425">
        <f ca="1">N360+N361</f>
        <v>147250</v>
      </c>
      <c r="O359" s="425">
        <f ca="1">IF(L359&gt;0,N359*100/L359,0)</f>
        <v>30.558985586950431</v>
      </c>
      <c r="P359" s="425">
        <f ca="1">IF(M359&gt;0,N359*100/M359,0)</f>
        <v>37.5776754156512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IFERROR(__xludf.DUMMYFUNCTION("IMPORTRANGE(""https://docs.google.com/spreadsheets/d/1-uDff_7J0KD5mKrp0Vvzr7lt3OU09vwQwhkpOPPYv2Y/edit?usp=sharing"",""งบพรบ!FC35"")"),481855)</f>
        <v>481855</v>
      </c>
      <c r="M361" s="425">
        <f ca="1">IFERROR(__xludf.DUMMYFUNCTION("IMPORTRANGE(""https://docs.google.com/spreadsheets/d/1-uDff_7J0KD5mKrp0Vvzr7lt3OU09vwQwhkpOPPYv2Y/edit?usp=sharing"",""งบพรบ!FH35"")"),391855)</f>
        <v>391855</v>
      </c>
      <c r="N361" s="425">
        <f ca="1">IFERROR(__xludf.DUMMYFUNCTION("IMPORTRANGE(""https://docs.google.com/spreadsheets/d/1-uDff_7J0KD5mKrp0Vvzr7lt3OU09vwQwhkpOPPYv2Y/edit?usp=sharing"",""งบพรบ!FJ35"")"),147250)</f>
        <v>147250</v>
      </c>
      <c r="O361" s="425">
        <f ca="1">IF(L361&gt;0,N361*100/L361,0)</f>
        <v>30.558985586950431</v>
      </c>
      <c r="P361" s="425">
        <f ca="1">IF(M361&gt;0,N361*100/M361,0)</f>
        <v>37.5776754156512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IFERROR(__xludf.DUMMYFUNCTION("IMPORTRANGE(""https://docs.google.com/spreadsheets/d/1-uDff_7J0KD5mKrp0Vvzr7lt3OU09vwQwhkpOPPYv2Y/edit?usp=sharing"",""งบพรบ!FF35"")"),0)</f>
        <v>0</v>
      </c>
      <c r="M364" s="425">
        <f ca="1">IFERROR(__xludf.DUMMYFUNCTION("IMPORTRANGE(""https://docs.google.com/spreadsheets/d/1-uDff_7J0KD5mKrp0Vvzr7lt3OU09vwQwhkpOPPYv2Y/edit?usp=sharing"",""งบพรบ!FI35"")"),0)</f>
        <v>0</v>
      </c>
      <c r="N364" s="425">
        <f ca="1">IFERROR(__xludf.DUMMYFUNCTION("IMPORTRANGE(""https://docs.google.com/spreadsheets/d/1-uDff_7J0KD5mKrp0Vvzr7lt3OU09vwQwhkpOPPYv2Y/edit?usp=sharing"",""งบพรบ!FK35"")"),0)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153</v>
      </c>
      <c r="J365" s="438">
        <f ca="1">J371</f>
        <v>126</v>
      </c>
      <c r="K365" s="439">
        <f ca="1">IF(I365&gt;0,J365*100/I365,0)</f>
        <v>82.352941176470594</v>
      </c>
      <c r="L365" s="571"/>
      <c r="M365" s="571"/>
      <c r="N365" s="571"/>
      <c r="O365" s="571"/>
      <c r="P365" s="571"/>
    </row>
    <row r="366" spans="1:16" ht="19.5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IFERROR(__xludf.DUMMYFUNCTION("IMPORTRANGE(""https://docs.google.com/spreadsheets/d/1tdoBKaGub7dwA3U6UFTqxio9LNnvDCQjHKmttSEBsFQ/edit?usp=sharing"",""จัดที่ดิน!AB35"")"),0)</f>
        <v>0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IFERROR(__xludf.DUMMYFUNCTION("IMPORTRANGE(""https://docs.google.com/spreadsheets/d/1eHaY18a8A9IcSdp1K8H6x8fbOy06t2VsZHhMHf-1x7Y/edit?usp=sharing"",""แผน!EW35"")"),1335)</f>
        <v>1335</v>
      </c>
      <c r="J368" s="565">
        <f ca="1">IFERROR(__xludf.DUMMYFUNCTION("IMPORTRANGE(""https://docs.google.com/spreadsheets/d/1tdoBKaGub7dwA3U6UFTqxio9LNnvDCQjHKmttSEBsFQ/edit?usp=sharing"",""จัดที่ดิน!AC35"")"),0)</f>
        <v>0</v>
      </c>
      <c r="K368" s="425">
        <f ca="1">IF(I368&gt;0,J368*100/I368,0)</f>
        <v>0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IFERROR(__xludf.DUMMYFUNCTION("IMPORTRANGE(""https://docs.google.com/spreadsheets/d/1eHaY18a8A9IcSdp1K8H6x8fbOy06t2VsZHhMHf-1x7Y/edit?usp=sharing"",""แผน!EX35"")"),231)</f>
        <v>231</v>
      </c>
      <c r="J369" s="424">
        <f ca="1">IFERROR(__xludf.DUMMYFUNCTION("IMPORTRANGE(""https://docs.google.com/spreadsheets/d/1tdoBKaGub7dwA3U6UFTqxio9LNnvDCQjHKmttSEBsFQ/edit?usp=sharing"",""จัดที่ดิน!AD35"")"),125)</f>
        <v>125</v>
      </c>
      <c r="K369" s="425">
        <f ca="1">IF(I369&gt;0,J369*100/I369,0)</f>
        <v>54.112554112554115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IFERROR(__xludf.DUMMYFUNCTION("IMPORTRANGE(""https://docs.google.com/spreadsheets/d/1tdoBKaGub7dwA3U6UFTqxio9LNnvDCQjHKmttSEBsFQ/edit?usp=sharing"",""จัดที่ดิน!AE35"")"),1508.39)</f>
        <v>1508.39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IFERROR(__xludf.DUMMYFUNCTION("IMPORTRANGE(""https://docs.google.com/spreadsheets/d/1eHaY18a8A9IcSdp1K8H6x8fbOy06t2VsZHhMHf-1x7Y/edit?usp=sharing"",""แผน!EY35"")"),153)</f>
        <v>153</v>
      </c>
      <c r="J371" s="424">
        <f ca="1">IFERROR(__xludf.DUMMYFUNCTION("IMPORTRANGE(""https://docs.google.com/spreadsheets/d/1tdoBKaGub7dwA3U6UFTqxio9LNnvDCQjHKmttSEBsFQ/edit?usp=sharing"",""จัดที่ดิน!AF35"")"),126)</f>
        <v>126</v>
      </c>
      <c r="K371" s="425">
        <f ca="1">IF(I371&gt;0,J371*100/I371,0)</f>
        <v>82.352941176470594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IFERROR(__xludf.DUMMYFUNCTION("IMPORTRANGE(""https://docs.google.com/spreadsheets/d/1tdoBKaGub7dwA3U6UFTqxio9LNnvDCQjHKmttSEBsFQ/edit?usp=sharing"",""จัดที่ดิน!AG35"")"),1511.89)</f>
        <v>1511.89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IFERROR(__xludf.DUMMYFUNCTION("IMPORTRANGE(""https://docs.google.com/spreadsheets/d/1-uDff_7J0KD5mKrp0Vvzr7lt3OU09vwQwhkpOPPYv2Y/edit?usp=sharing"",""งบพรบ!FM35"")"),0)</f>
        <v>0</v>
      </c>
      <c r="M382" s="521">
        <f ca="1">IFERROR(__xludf.DUMMYFUNCTION("IMPORTRANGE(""https://docs.google.com/spreadsheets/d/1-uDff_7J0KD5mKrp0Vvzr7lt3OU09vwQwhkpOPPYv2Y/edit?usp=sharing"",""งบพรบ!FR35"")"),0)</f>
        <v>0</v>
      </c>
      <c r="N382" s="521">
        <f ca="1">IFERROR(__xludf.DUMMYFUNCTION("IMPORTRANGE(""https://docs.google.com/spreadsheets/d/1-uDff_7J0KD5mKrp0Vvzr7lt3OU09vwQwhkpOPPYv2Y/edit?usp=sharing"",""งบพรบ!FT35"")"),0)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IFERROR(__xludf.DUMMYFUNCTION("IMPORTRANGE(""https://docs.google.com/spreadsheets/d/1-uDff_7J0KD5mKrp0Vvzr7lt3OU09vwQwhkpOPPYv2Y/edit?usp=sharing"",""งบพรบ!FP35"")"),0)</f>
        <v>0</v>
      </c>
      <c r="M385" s="521">
        <f ca="1">IFERROR(__xludf.DUMMYFUNCTION("IMPORTRANGE(""https://docs.google.com/spreadsheets/d/1-uDff_7J0KD5mKrp0Vvzr7lt3OU09vwQwhkpOPPYv2Y/edit?usp=sharing"",""งบพรบ!FS35"")"),0)</f>
        <v>0</v>
      </c>
      <c r="N385" s="521">
        <f ca="1">IFERROR(__xludf.DUMMYFUNCTION("IMPORTRANGE(""https://docs.google.com/spreadsheets/d/1-uDff_7J0KD5mKrp0Vvzr7lt3OU09vwQwhkpOPPYv2Y/edit?usp=sharing"",""งบพรบ!FU35"")"),0)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9DF7C-F74D-473F-A288-FBC0EDFEDE7A}">
  <sheetPr>
    <outlinePr summaryBelow="0" summaryRight="0"/>
    <pageSetUpPr fitToPage="1"/>
  </sheetPr>
  <dimension ref="A1:P391"/>
  <sheetViews>
    <sheetView view="pageBreakPreview" zoomScale="60" zoomScaleNormal="70" workbookViewId="0">
      <pane xSplit="8" ySplit="17" topLeftCell="I18" activePane="bottomRight" state="frozen"/>
      <selection activeCell="H27" sqref="H27"/>
      <selection pane="topRight" activeCell="H27" sqref="H27"/>
      <selection pane="bottomLeft" activeCell="H27" sqref="H27"/>
      <selection pane="bottomRight" activeCell="H27" sqref="H27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5.140625" customWidth="1"/>
    <col min="11" max="11" width="10.8554687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869" t="s">
        <v>0</v>
      </c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  <c r="O1" s="869"/>
      <c r="P1" s="869"/>
    </row>
    <row r="2" spans="1:16" ht="19.5" x14ac:dyDescent="0.3">
      <c r="A2" s="869" t="s">
        <v>164</v>
      </c>
      <c r="B2" s="869"/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  <c r="P2" s="869"/>
    </row>
    <row r="3" spans="1:16" ht="19.5" x14ac:dyDescent="0.3">
      <c r="A3" s="869"/>
      <c r="B3" s="869"/>
      <c r="C3" s="869"/>
      <c r="D3" s="869"/>
      <c r="E3" s="869"/>
      <c r="F3" s="869"/>
      <c r="G3" s="869"/>
      <c r="H3" s="869"/>
      <c r="I3" s="869"/>
      <c r="J3" s="869"/>
      <c r="K3" s="869"/>
      <c r="L3" s="869"/>
      <c r="M3" s="869"/>
      <c r="N3" s="869"/>
      <c r="O3" s="869"/>
      <c r="P3" s="869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5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493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3611148</v>
      </c>
      <c r="M18" s="704">
        <f ca="1">M19+M20</f>
        <v>3072251</v>
      </c>
      <c r="N18" s="704">
        <f ca="1">N19+N20</f>
        <v>1552580.71</v>
      </c>
      <c r="O18" s="704">
        <f ca="1">IF(L18&gt;0,N18*100/L18,0)</f>
        <v>42.994103537157713</v>
      </c>
      <c r="P18" s="704">
        <f ca="1">IF(M18&gt;0,N18*100/M18,0)</f>
        <v>50.535607604977585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3611148</v>
      </c>
      <c r="M20" s="817">
        <f ca="1">M23+M26</f>
        <v>3072251</v>
      </c>
      <c r="N20" s="817">
        <f ca="1">N23+N26</f>
        <v>1552580.71</v>
      </c>
      <c r="O20" s="817">
        <f ca="1">IF(L20&gt;0,N20*100/L20,0)</f>
        <v>42.994103537157713</v>
      </c>
      <c r="P20" s="817">
        <f ca="1">IF(M20&gt;0,N20*100/M20,0)</f>
        <v>50.535607604977585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3611148</v>
      </c>
      <c r="M21" s="425">
        <f ca="1">M22+M23</f>
        <v>3072251</v>
      </c>
      <c r="N21" s="425">
        <f ca="1">N22+N23</f>
        <v>1552580.71</v>
      </c>
      <c r="O21" s="425">
        <f ca="1">IF(L21&gt;0,N21*100/L21,0)</f>
        <v>42.994103537157713</v>
      </c>
      <c r="P21" s="425">
        <f ca="1">IF(M21&gt;0,N21*100/M21,0)</f>
        <v>50.535607604977585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3611148</v>
      </c>
      <c r="M23" s="425">
        <f ca="1">M49+M64+M77+M99+M130+M144+M162+M191+M178+M271+M287+M308+M325+M338+M361+M382</f>
        <v>3072251</v>
      </c>
      <c r="N23" s="425">
        <f ca="1">N49+N64+N77+N99+N130+N144+N162+N191+N178+N271+N287+N308+N325+N338+N361+N382</f>
        <v>1552580.71</v>
      </c>
      <c r="O23" s="425">
        <f ca="1">IF(L23&gt;0,N23*100/L23,0)</f>
        <v>42.994103537157713</v>
      </c>
      <c r="P23" s="425">
        <f ca="1">IF(M23&gt;0,N23*100/M23,0)</f>
        <v>50.535607604977585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2.75" hidden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3611148</v>
      </c>
      <c r="M40" s="809">
        <f ca="1">M44+M59+M72+M94+M125+M139+M157+M173+M186+M266+M282+M303+M320+M333+M356</f>
        <v>3072251</v>
      </c>
      <c r="N40" s="809">
        <f ca="1">N44+N59+N72+N94+N125+N139+N157+N173+N186+N266+N282+N303+N320+N333+N356</f>
        <v>1552580.71</v>
      </c>
      <c r="O40" s="809">
        <f ca="1">IF(L40&gt;0,N40*100/L40,0)</f>
        <v>42.994103537157713</v>
      </c>
      <c r="P40" s="809">
        <f ca="1">IF(M40&gt;0,N40*100/M40,0)</f>
        <v>50.535607604977585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481643</v>
      </c>
      <c r="M44" s="794">
        <f ca="1">M45+M46</f>
        <v>495086</v>
      </c>
      <c r="N44" s="794">
        <f ca="1">N45+N46</f>
        <v>200943</v>
      </c>
      <c r="O44" s="794">
        <f ca="1">IF(L44&gt;0,N44*100/L44,0)</f>
        <v>41.720319821942809</v>
      </c>
      <c r="P44" s="794">
        <f ca="1">IF(M44&gt;0,N44*100/M44,0)</f>
        <v>40.58749388995043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481643</v>
      </c>
      <c r="M46" s="783">
        <f ca="1">M49+M52</f>
        <v>495086</v>
      </c>
      <c r="N46" s="783">
        <f ca="1">N49+N52</f>
        <v>200943</v>
      </c>
      <c r="O46" s="783">
        <f ca="1">IF(L46&gt;0,N46*100/L46,0)</f>
        <v>41.720319821942809</v>
      </c>
      <c r="P46" s="783">
        <f ca="1">IF(M46&gt;0,N46*100/M46,0)</f>
        <v>40.58749388995043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481643</v>
      </c>
      <c r="M47" s="425">
        <f ca="1">M48+M49</f>
        <v>495086</v>
      </c>
      <c r="N47" s="425">
        <f ca="1">N48+N49</f>
        <v>200943</v>
      </c>
      <c r="O47" s="425">
        <f ca="1">IF(L47&gt;0,N47*100/L47,0)</f>
        <v>41.720319821942809</v>
      </c>
      <c r="P47" s="425">
        <f ca="1">IF(M47&gt;0,N47*100/M47,0)</f>
        <v>40.58749388995043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IFERROR(__xludf.DUMMYFUNCTION("IMPORTRANGE(""https://docs.google.com/spreadsheets/d/1-uDff_7J0KD5mKrp0Vvzr7lt3OU09vwQwhkpOPPYv2Y/edit?usp=sharing"",""งบพรบ!P36"")"),481643)</f>
        <v>481643</v>
      </c>
      <c r="M49" s="425">
        <f ca="1">IFERROR(__xludf.DUMMYFUNCTION("IMPORTRANGE(""https://docs.google.com/spreadsheets/d/1-uDff_7J0KD5mKrp0Vvzr7lt3OU09vwQwhkpOPPYv2Y/edit?usp=sharing"",""งบพรบ!V36"")"),495086)</f>
        <v>495086</v>
      </c>
      <c r="N49" s="425">
        <f ca="1">IFERROR(__xludf.DUMMYFUNCTION("IMPORTRANGE(""https://docs.google.com/spreadsheets/d/1-uDff_7J0KD5mKrp0Vvzr7lt3OU09vwQwhkpOPPYv2Y/edit?usp=sharing"",""งบพรบ!Y36"")"),200943)</f>
        <v>200943</v>
      </c>
      <c r="O49" s="425">
        <f ca="1">IF(L49&gt;0,N49*100/L49,0)</f>
        <v>41.720319821942809</v>
      </c>
      <c r="P49" s="425">
        <f ca="1">IF(M49&gt;0,N49*100/M49,0)</f>
        <v>40.58749388995043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IFERROR(__xludf.DUMMYFUNCTION("IMPORTRANGE(""https://docs.google.com/spreadsheets/d/1-uDff_7J0KD5mKrp0Vvzr7lt3OU09vwQwhkpOPPYv2Y/edit?usp=sharing"",""งบพรบ!S36"")"),0)</f>
        <v>0</v>
      </c>
      <c r="M52" s="425">
        <f ca="1">IFERROR(__xludf.DUMMYFUNCTION("IMPORTRANGE(""https://docs.google.com/spreadsheets/d/1-uDff_7J0KD5mKrp0Vvzr7lt3OU09vwQwhkpOPPYv2Y/edit?usp=sharing"",""งบพรบ!W36"")"),0)</f>
        <v>0</v>
      </c>
      <c r="N52" s="425">
        <f ca="1">IFERROR(__xludf.DUMMYFUNCTION("IMPORTRANGE(""https://docs.google.com/spreadsheets/d/1-uDff_7J0KD5mKrp0Vvzr7lt3OU09vwQwhkpOPPYv2Y/edit?usp=sharing"",""งบพรบ!Z36"")"),0)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744700</v>
      </c>
      <c r="M59" s="763">
        <f ca="1">M60+M61</f>
        <v>563350</v>
      </c>
      <c r="N59" s="763">
        <f ca="1">N60+N61</f>
        <v>343632.2</v>
      </c>
      <c r="O59" s="763">
        <f ca="1">IF(L59&gt;0,N59*100/L59,0)</f>
        <v>46.143708876057474</v>
      </c>
      <c r="P59" s="763">
        <f ca="1">IF(M59&gt;0,N59*100/M59,0)</f>
        <v>60.997994142185142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744700</v>
      </c>
      <c r="M61" s="752">
        <f ca="1">M64+M67</f>
        <v>563350</v>
      </c>
      <c r="N61" s="752">
        <f ca="1">N64+N67</f>
        <v>343632.2</v>
      </c>
      <c r="O61" s="752">
        <f ca="1">IF(L61&gt;0,N61*100/L61,0)</f>
        <v>46.143708876057474</v>
      </c>
      <c r="P61" s="752">
        <f ca="1">IF(M61&gt;0,N61*100/M61,0)</f>
        <v>60.997994142185142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744700</v>
      </c>
      <c r="M62" s="425">
        <f ca="1">M63+M64</f>
        <v>563350</v>
      </c>
      <c r="N62" s="425">
        <f ca="1">N63+N64</f>
        <v>343632.2</v>
      </c>
      <c r="O62" s="425">
        <f ca="1">IF(L62&gt;0,N62*100/L62,0)</f>
        <v>46.143708876057474</v>
      </c>
      <c r="P62" s="425">
        <f ca="1">IF(M62&gt;0,N62*100/M62,0)</f>
        <v>60.997994142185142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IFERROR(__xludf.DUMMYFUNCTION("IMPORTRANGE(""https://docs.google.com/spreadsheets/d/1-uDff_7J0KD5mKrp0Vvzr7lt3OU09vwQwhkpOPPYv2Y/edit?usp=sharing"",""งบพรบ!AC36"")"),744700)</f>
        <v>744700</v>
      </c>
      <c r="M64" s="425">
        <f ca="1">IFERROR(__xludf.DUMMYFUNCTION("IMPORTRANGE(""https://docs.google.com/spreadsheets/d/1-uDff_7J0KD5mKrp0Vvzr7lt3OU09vwQwhkpOPPYv2Y/edit?usp=sharing"",""งบพรบ!AH36"")"),563350)</f>
        <v>563350</v>
      </c>
      <c r="N64" s="425">
        <f ca="1">IFERROR(__xludf.DUMMYFUNCTION("IMPORTRANGE(""https://docs.google.com/spreadsheets/d/1-uDff_7J0KD5mKrp0Vvzr7lt3OU09vwQwhkpOPPYv2Y/edit?usp=sharing"",""งบพรบ!AJ36"")"),343632.2)</f>
        <v>343632.2</v>
      </c>
      <c r="O64" s="425">
        <f ca="1">IF(L64&gt;0,N64*100/L64,0)</f>
        <v>46.143708876057474</v>
      </c>
      <c r="P64" s="425">
        <f ca="1">IF(M64&gt;0,N64*100/M64,0)</f>
        <v>60.997994142185142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IFERROR(__xludf.DUMMYFUNCTION("IMPORTRANGE(""https://docs.google.com/spreadsheets/d/1-uDff_7J0KD5mKrp0Vvzr7lt3OU09vwQwhkpOPPYv2Y/edit?usp=sharing"",""งบพรบ!AF36"")"),0)</f>
        <v>0</v>
      </c>
      <c r="M67" s="747">
        <f ca="1">IFERROR(__xludf.DUMMYFUNCTION("IMPORTRANGE(""https://docs.google.com/spreadsheets/d/1-uDff_7J0KD5mKrp0Vvzr7lt3OU09vwQwhkpOPPYv2Y/edit?usp=sharing"",""งบพรบ!AI36"")"),0)</f>
        <v>0</v>
      </c>
      <c r="N67" s="747">
        <f ca="1">IFERROR(__xludf.DUMMYFUNCTION("IMPORTRANGE(""https://docs.google.com/spreadsheets/d/1-uDff_7J0KD5mKrp0Vvzr7lt3OU09vwQwhkpOPPYv2Y/edit?usp=sharing"",""งบพรบ!AK36"")"),0)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21" customHeight="1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hidden="1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hidden="1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0</v>
      </c>
      <c r="J70" s="705">
        <f>J82</f>
        <v>0</v>
      </c>
      <c r="K70" s="704">
        <f ca="1">IF(I70&gt;0,J70*100/I70,0)</f>
        <v>0</v>
      </c>
      <c r="L70" s="703"/>
      <c r="M70" s="703"/>
      <c r="N70" s="703"/>
      <c r="O70" s="703"/>
      <c r="P70" s="703"/>
    </row>
    <row r="71" spans="1:16" ht="19.5" hidden="1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0</v>
      </c>
      <c r="J71" s="705">
        <f>J83</f>
        <v>0</v>
      </c>
      <c r="K71" s="704">
        <f ca="1">IF(I71&gt;0,J71*100/I71,0)</f>
        <v>0</v>
      </c>
      <c r="L71" s="703"/>
      <c r="M71" s="703"/>
      <c r="N71" s="703"/>
      <c r="O71" s="703"/>
      <c r="P71" s="703"/>
    </row>
    <row r="72" spans="1:16" ht="19.5" hidden="1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0</v>
      </c>
      <c r="M72" s="577">
        <f ca="1">M73+M74</f>
        <v>0</v>
      </c>
      <c r="N72" s="577">
        <f ca="1">N73+N74</f>
        <v>0</v>
      </c>
      <c r="O72" s="577">
        <f ca="1">IF(L72&gt;0,N72*100/L72,0)</f>
        <v>0</v>
      </c>
      <c r="P72" s="577">
        <f ca="1">IF(M72&gt;0,N72*100/M72,0)</f>
        <v>0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hidden="1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hidden="1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IFERROR(__xludf.DUMMYFUNCTION("IMPORTRANGE(""https://docs.google.com/spreadsheets/d/1-uDff_7J0KD5mKrp0Vvzr7lt3OU09vwQwhkpOPPYv2Y/edit?usp=sharing"",""งบพรบ!AM36"")"),0)</f>
        <v>0</v>
      </c>
      <c r="M77" s="425">
        <f ca="1">IFERROR(__xludf.DUMMYFUNCTION("IMPORTRANGE(""https://docs.google.com/spreadsheets/d/1-uDff_7J0KD5mKrp0Vvzr7lt3OU09vwQwhkpOPPYv2Y/edit?usp=sharing"",""งบพรบ!AR36"")"),0)</f>
        <v>0</v>
      </c>
      <c r="N77" s="425">
        <f ca="1">IFERROR(__xludf.DUMMYFUNCTION("IMPORTRANGE(""https://docs.google.com/spreadsheets/d/1-uDff_7J0KD5mKrp0Vvzr7lt3OU09vwQwhkpOPPYv2Y/edit?usp=sharing"",""งบพรบ!AT36"")"),0)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hidden="1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IFERROR(__xludf.DUMMYFUNCTION("IMPORTRANGE(""https://docs.google.com/spreadsheets/d/1-uDff_7J0KD5mKrp0Vvzr7lt3OU09vwQwhkpOPPYv2Y/edit?usp=sharing"",""งบพรบ!AP36"")"),0)</f>
        <v>0</v>
      </c>
      <c r="M80" s="425">
        <f ca="1">IFERROR(__xludf.DUMMYFUNCTION("IMPORTRANGE(""https://docs.google.com/spreadsheets/d/1-uDff_7J0KD5mKrp0Vvzr7lt3OU09vwQwhkpOPPYv2Y/edit?usp=sharing"",""งบพรบ!AS36"")"),0)</f>
        <v>0</v>
      </c>
      <c r="N80" s="425">
        <f ca="1">IFERROR(__xludf.DUMMYFUNCTION("IMPORTRANGE(""https://docs.google.com/spreadsheets/d/1-uDff_7J0KD5mKrp0Vvzr7lt3OU09vwQwhkpOPPYv2Y/edit?usp=sharing"",""งบพรบ!AU36"")"),0)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hidden="1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0</v>
      </c>
      <c r="J82" s="625">
        <f>J84+J86+J88</f>
        <v>0</v>
      </c>
      <c r="K82" s="624">
        <f ca="1">IF(I82&gt;0,J82*100/I82,0)</f>
        <v>0</v>
      </c>
      <c r="L82" s="525"/>
      <c r="M82" s="525"/>
      <c r="N82" s="525"/>
      <c r="O82" s="525"/>
      <c r="P82" s="525"/>
    </row>
    <row r="83" spans="1:16" ht="19.5" hidden="1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0</v>
      </c>
      <c r="J83" s="625">
        <f>J85+J87+J89</f>
        <v>0</v>
      </c>
      <c r="K83" s="624">
        <f ca="1">IF(I83&gt;0,J83*100/I83,0)</f>
        <v>0</v>
      </c>
      <c r="L83" s="525"/>
      <c r="M83" s="525"/>
      <c r="N83" s="525"/>
      <c r="O83" s="525"/>
      <c r="P83" s="525"/>
    </row>
    <row r="84" spans="1:16" ht="18.75" hidden="1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IFERROR(__xludf.DUMMYFUNCTION("IMPORTRANGE(""https://docs.google.com/spreadsheets/d/1eHaY18a8A9IcSdp1K8H6x8fbOy06t2VsZHhMHf-1x7Y/edit?usp=sharing"",""แผน!H36"")"),0)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hidden="1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IFERROR(__xludf.DUMMYFUNCTION("IMPORTRANGE(""https://docs.google.com/spreadsheets/d/1eHaY18a8A9IcSdp1K8H6x8fbOy06t2VsZHhMHf-1x7Y/edit?usp=sharing"",""แผน!I36"")"),0)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hidden="1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IFERROR(__xludf.DUMMYFUNCTION("IMPORTRANGE(""https://docs.google.com/spreadsheets/d/1eHaY18a8A9IcSdp1K8H6x8fbOy06t2VsZHhMHf-1x7Y/edit?usp=sharing"",""แผน!F36"")"),0)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hidden="1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IFERROR(__xludf.DUMMYFUNCTION("IMPORTRANGE(""https://docs.google.com/spreadsheets/d/1eHaY18a8A9IcSdp1K8H6x8fbOy06t2VsZHhMHf-1x7Y/edit?usp=sharing"",""แผน!G36"")"),0)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hidden="1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IFERROR(__xludf.DUMMYFUNCTION("IMPORTRANGE(""https://docs.google.com/spreadsheets/d/1eHaY18a8A9IcSdp1K8H6x8fbOy06t2VsZHhMHf-1x7Y/edit?usp=sharing"",""แผน!D36"")"),0)</f>
        <v>0</v>
      </c>
      <c r="J88" s="595">
        <v>0</v>
      </c>
      <c r="K88" s="621">
        <f ca="1">IF(I88&gt;0,J88*100/I88,0)</f>
        <v>0</v>
      </c>
      <c r="L88" s="525"/>
      <c r="M88" s="525"/>
      <c r="N88" s="525"/>
      <c r="O88" s="525"/>
      <c r="P88" s="525"/>
    </row>
    <row r="89" spans="1:16" ht="18.75" hidden="1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IFERROR(__xludf.DUMMYFUNCTION("IMPORTRANGE(""https://docs.google.com/spreadsheets/d/1eHaY18a8A9IcSdp1K8H6x8fbOy06t2VsZHhMHf-1x7Y/edit?usp=sharing"",""แผน!E36"")"),0)</f>
        <v>0</v>
      </c>
      <c r="J89" s="595">
        <v>0</v>
      </c>
      <c r="K89" s="621">
        <f ca="1">IF(I89&gt;0,J89*100/I89,0)</f>
        <v>0</v>
      </c>
      <c r="L89" s="525"/>
      <c r="M89" s="525"/>
      <c r="N89" s="525"/>
      <c r="O89" s="525"/>
      <c r="P89" s="525"/>
    </row>
    <row r="90" spans="1:16" ht="18.75" hidden="1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IFERROR(__xludf.DUMMYFUNCTION("IMPORTRANGE(""https://docs.google.com/spreadsheets/d/1eHaY18a8A9IcSdp1K8H6x8fbOy06t2VsZHhMHf-1x7Y/edit?usp=sharing"",""แผน!J36"")"),0)</f>
        <v>0</v>
      </c>
      <c r="J90" s="595">
        <v>0</v>
      </c>
      <c r="K90" s="621">
        <f ca="1">IF(I90&gt;0,J90*100/I90,0)</f>
        <v>0</v>
      </c>
      <c r="L90" s="525"/>
      <c r="M90" s="525"/>
      <c r="N90" s="525"/>
      <c r="O90" s="525"/>
      <c r="P90" s="525"/>
    </row>
    <row r="91" spans="1:16" ht="19.5" hidden="1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hidden="1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0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hidden="1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0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hidden="1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0</v>
      </c>
      <c r="M94" s="577">
        <f ca="1">M95+M96</f>
        <v>0</v>
      </c>
      <c r="N94" s="577">
        <f ca="1">N95+N96</f>
        <v>0</v>
      </c>
      <c r="O94" s="577">
        <f ca="1">IF(L94&gt;0,N94*100/L94,0)</f>
        <v>0</v>
      </c>
      <c r="P94" s="577">
        <f ca="1">IF(M94&gt;0,N94*100/M94,0)</f>
        <v>0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hidden="1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hidden="1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IFERROR(__xludf.DUMMYFUNCTION("IMPORTRANGE(""https://docs.google.com/spreadsheets/d/1-uDff_7J0KD5mKrp0Vvzr7lt3OU09vwQwhkpOPPYv2Y/edit?usp=sharing"",""งบพรบ!AW36"")"),0)</f>
        <v>0</v>
      </c>
      <c r="M99" s="425">
        <f ca="1">IFERROR(__xludf.DUMMYFUNCTION("IMPORTRANGE(""https://docs.google.com/spreadsheets/d/1-uDff_7J0KD5mKrp0Vvzr7lt3OU09vwQwhkpOPPYv2Y/edit?usp=sharing"",""งบพรบ!BB36"")"),0)</f>
        <v>0</v>
      </c>
      <c r="N99" s="425">
        <f ca="1">IFERROR(__xludf.DUMMYFUNCTION("IMPORTRANGE(""https://docs.google.com/spreadsheets/d/1-uDff_7J0KD5mKrp0Vvzr7lt3OU09vwQwhkpOPPYv2Y/edit?usp=sharing"",""งบพรบ!BD36"")"),0)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hidden="1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IFERROR(__xludf.DUMMYFUNCTION("IMPORTRANGE(""https://docs.google.com/spreadsheets/d/1-uDff_7J0KD5mKrp0Vvzr7lt3OU09vwQwhkpOPPYv2Y/edit?usp=sharing"",""งบพรบ!AZ36"")"),0)</f>
        <v>0</v>
      </c>
      <c r="M102" s="425">
        <f ca="1">IFERROR(__xludf.DUMMYFUNCTION("IMPORTRANGE(""https://docs.google.com/spreadsheets/d/1-uDff_7J0KD5mKrp0Vvzr7lt3OU09vwQwhkpOPPYv2Y/edit?usp=sharing"",""งบพรบ!BC36"")"),0)</f>
        <v>0</v>
      </c>
      <c r="N102" s="425">
        <f ca="1">IFERROR(__xludf.DUMMYFUNCTION("IMPORTRANGE(""https://docs.google.com/spreadsheets/d/1-uDff_7J0KD5mKrp0Vvzr7lt3OU09vwQwhkpOPPYv2Y/edit?usp=sharing"",""งบพรบ!BE36"")"),0)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hidden="1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hidden="1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IFERROR(__xludf.DUMMYFUNCTION("IMPORTRANGE(""https://docs.google.com/spreadsheets/d/1eHaY18a8A9IcSdp1K8H6x8fbOy06t2VsZHhMHf-1x7Y/edit?usp=sharing"",""แผน!N36"")"),0)</f>
        <v>0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hidden="1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IFERROR(__xludf.DUMMYFUNCTION("IMPORTRANGE(""https://docs.google.com/spreadsheets/d/1eHaY18a8A9IcSdp1K8H6x8fbOy06t2VsZHhMHf-1x7Y/edit?usp=sharing"",""แผน!O36"")"),0)</f>
        <v>0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hidden="1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IFERROR(__xludf.DUMMYFUNCTION("IMPORTRANGE(""https://docs.google.com/spreadsheets/d/1eHaY18a8A9IcSdp1K8H6x8fbOy06t2VsZHhMHf-1x7Y/edit?usp=sharing"",""แผน!R36"")"),0)</f>
        <v>0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IFERROR(__xludf.DUMMYFUNCTION("IMPORTRANGE(""https://docs.google.com/spreadsheets/d/1-uDff_7J0KD5mKrp0Vvzr7lt3OU09vwQwhkpOPPYv2Y/edit?usp=sharing"",""งบพรบ!BG36"")"),0)</f>
        <v>0</v>
      </c>
      <c r="M130" s="723">
        <f ca="1">IFERROR(__xludf.DUMMYFUNCTION("IMPORTRANGE(""https://docs.google.com/spreadsheets/d/1-uDff_7J0KD5mKrp0Vvzr7lt3OU09vwQwhkpOPPYv2Y/edit?usp=sharing"",""งบพรบ!BL36"")"),0)</f>
        <v>0</v>
      </c>
      <c r="N130" s="723">
        <f ca="1">IFERROR(__xludf.DUMMYFUNCTION("IMPORTRANGE(""https://docs.google.com/spreadsheets/d/1-uDff_7J0KD5mKrp0Vvzr7lt3OU09vwQwhkpOPPYv2Y/edit?usp=sharing"",""งบพรบ!BN36"")"),0)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IFERROR(__xludf.DUMMYFUNCTION("IMPORTRANGE(""https://docs.google.com/spreadsheets/d/1-uDff_7J0KD5mKrp0Vvzr7lt3OU09vwQwhkpOPPYv2Y/edit?usp=sharing"",""งบพรบ!BJ36"")"),0)</f>
        <v>0</v>
      </c>
      <c r="M133" s="723">
        <f ca="1">IFERROR(__xludf.DUMMYFUNCTION("IMPORTRANGE(""https://docs.google.com/spreadsheets/d/1-uDff_7J0KD5mKrp0Vvzr7lt3OU09vwQwhkpOPPYv2Y/edit?usp=sharing"",""งบพรบ!BM36"")"),0)</f>
        <v>0</v>
      </c>
      <c r="N133" s="723">
        <f ca="1">IFERROR(__xludf.DUMMYFUNCTION("IMPORTRANGE(""https://docs.google.com/spreadsheets/d/1-uDff_7J0KD5mKrp0Vvzr7lt3OU09vwQwhkpOPPYv2Y/edit?usp=sharing"",""งบพรบ!BO36"")"),0)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2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60</v>
      </c>
      <c r="J137" s="705">
        <f>J152</f>
        <v>0</v>
      </c>
      <c r="K137" s="704">
        <f ca="1">IF(I137&gt;0,J137*100/I137,0)</f>
        <v>0</v>
      </c>
      <c r="L137" s="703"/>
      <c r="M137" s="703"/>
      <c r="N137" s="703"/>
      <c r="O137" s="703"/>
      <c r="P137" s="703"/>
    </row>
    <row r="138" spans="1:16" ht="19.5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6</v>
      </c>
      <c r="J138" s="705">
        <f>J153</f>
        <v>0</v>
      </c>
      <c r="K138" s="704">
        <f ca="1">IF(I138&gt;0,J138*100/I138,0)</f>
        <v>0</v>
      </c>
      <c r="L138" s="703"/>
      <c r="M138" s="703"/>
      <c r="N138" s="703"/>
      <c r="O138" s="703"/>
      <c r="P138" s="703"/>
    </row>
    <row r="139" spans="1:16" ht="19.5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91400</v>
      </c>
      <c r="M139" s="577">
        <f ca="1">M140+M141</f>
        <v>86400</v>
      </c>
      <c r="N139" s="577">
        <f ca="1">N140+N141</f>
        <v>0</v>
      </c>
      <c r="O139" s="577">
        <f ca="1">IF(L139&gt;0,N139*100/L139,0)</f>
        <v>0</v>
      </c>
      <c r="P139" s="577">
        <f ca="1">IF(M139&gt;0,N139*100/M139,0)</f>
        <v>0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91400</v>
      </c>
      <c r="M141" s="425">
        <f ca="1">M144+M147</f>
        <v>86400</v>
      </c>
      <c r="N141" s="425">
        <f ca="1">N144+N147</f>
        <v>0</v>
      </c>
      <c r="O141" s="425">
        <f ca="1">IF(L141&gt;0,N141*100/L141,0)</f>
        <v>0</v>
      </c>
      <c r="P141" s="425">
        <f ca="1">IF(M141&gt;0,N141*100/M141,0)</f>
        <v>0</v>
      </c>
    </row>
    <row r="142" spans="1:16" ht="18.75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91400</v>
      </c>
      <c r="M142" s="425">
        <f ca="1">M143+M144</f>
        <v>86400</v>
      </c>
      <c r="N142" s="425">
        <f ca="1">N143+N144</f>
        <v>0</v>
      </c>
      <c r="O142" s="425">
        <f ca="1">IF(L142&gt;0,N142*100/L142,0)</f>
        <v>0</v>
      </c>
      <c r="P142" s="425">
        <f ca="1">IF(M142&gt;0,N142*100/M142,0)</f>
        <v>0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IFERROR(__xludf.DUMMYFUNCTION("IMPORTRANGE(""https://docs.google.com/spreadsheets/d/1-uDff_7J0KD5mKrp0Vvzr7lt3OU09vwQwhkpOPPYv2Y/edit?usp=sharing"",""งบพรบ!BQ36"")"),91400)</f>
        <v>91400</v>
      </c>
      <c r="M144" s="425">
        <f ca="1">IFERROR(__xludf.DUMMYFUNCTION("IMPORTRANGE(""https://docs.google.com/spreadsheets/d/1-uDff_7J0KD5mKrp0Vvzr7lt3OU09vwQwhkpOPPYv2Y/edit?usp=sharing"",""งบพรบ!BV36"")"),86400)</f>
        <v>86400</v>
      </c>
      <c r="N144" s="425">
        <f ca="1">IFERROR(__xludf.DUMMYFUNCTION("IMPORTRANGE(""https://docs.google.com/spreadsheets/d/1-uDff_7J0KD5mKrp0Vvzr7lt3OU09vwQwhkpOPPYv2Y/edit?usp=sharing"",""งบพรบ!BX36"")"),0)</f>
        <v>0</v>
      </c>
      <c r="O144" s="425">
        <f ca="1">IF(L144&gt;0,N144*100/L144,0)</f>
        <v>0</v>
      </c>
      <c r="P144" s="425">
        <f ca="1">IF(M144&gt;0,N144*100/M144,0)</f>
        <v>0</v>
      </c>
    </row>
    <row r="145" spans="1:16" ht="18.75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IFERROR(__xludf.DUMMYFUNCTION("IMPORTRANGE(""https://docs.google.com/spreadsheets/d/1-uDff_7J0KD5mKrp0Vvzr7lt3OU09vwQwhkpOPPYv2Y/edit?usp=sharing"",""งบพรบ!BT36"")"),0)</f>
        <v>0</v>
      </c>
      <c r="M147" s="425">
        <f ca="1">IFERROR(__xludf.DUMMYFUNCTION("IMPORTRANGE(""https://docs.google.com/spreadsheets/d/1-uDff_7J0KD5mKrp0Vvzr7lt3OU09vwQwhkpOPPYv2Y/edit?usp=sharing"",""งบพรบ!BW36"")"),0)</f>
        <v>0</v>
      </c>
      <c r="N147" s="425">
        <f ca="1">IFERROR(__xludf.DUMMYFUNCTION("IMPORTRANGE(""https://docs.google.com/spreadsheets/d/1-uDff_7J0KD5mKrp0Vvzr7lt3OU09vwQwhkpOPPYv2Y/edit?usp=sharing"",""งบพรบ!BY36"")"),0)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x14ac:dyDescent="0.3">
      <c r="A150" s="535"/>
      <c r="B150" s="418"/>
      <c r="C150" s="418"/>
      <c r="D150" s="420"/>
      <c r="E150" s="570" t="s">
        <v>159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IFERROR(__xludf.DUMMYFUNCTION("IMPORTRANGE(""https://docs.google.com/spreadsheets/d/1eHaY18a8A9IcSdp1K8H6x8fbOy06t2VsZHhMHf-1x7Y/edit?usp=sharing"",""แผน!U36"")"),20)</f>
        <v>20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IFERROR(__xludf.DUMMYFUNCTION("IMPORTRANGE(""https://docs.google.com/spreadsheets/d/1eHaY18a8A9IcSdp1K8H6x8fbOy06t2VsZHhMHf-1x7Y/edit?usp=sharing"",""แผน!V36"")"),2)</f>
        <v>2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x14ac:dyDescent="0.3">
      <c r="A152" s="535"/>
      <c r="B152" s="418"/>
      <c r="C152" s="418"/>
      <c r="D152" s="420"/>
      <c r="E152" s="570" t="s">
        <v>158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IFERROR(__xludf.DUMMYFUNCTION("IMPORTRANGE(""https://docs.google.com/spreadsheets/d/1eHaY18a8A9IcSdp1K8H6x8fbOy06t2VsZHhMHf-1x7Y/edit?usp=sharing"",""แผน!W36"")"),60)</f>
        <v>60</v>
      </c>
      <c r="J152" s="595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IFERROR(__xludf.DUMMYFUNCTION("IMPORTRANGE(""https://docs.google.com/spreadsheets/d/1eHaY18a8A9IcSdp1K8H6x8fbOy06t2VsZHhMHf-1x7Y/edit?usp=sharing"",""แผน!X36"")"),6)</f>
        <v>6</v>
      </c>
      <c r="J153" s="595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IFERROR(__xludf.DUMMYFUNCTION("IMPORTRANGE(""https://docs.google.com/spreadsheets/d/1eHaY18a8A9IcSdp1K8H6x8fbOy06t2VsZHhMHf-1x7Y/edit?usp=sharing"",""แผน!Y36"")"),2)</f>
        <v>2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I167</f>
        <v>10</v>
      </c>
      <c r="J156" s="705">
        <f>J167</f>
        <v>0</v>
      </c>
      <c r="K156" s="704">
        <f ca="1">IF(I156&gt;0,J156*100/I156,0)</f>
        <v>0</v>
      </c>
      <c r="L156" s="703"/>
      <c r="M156" s="703"/>
      <c r="N156" s="703"/>
      <c r="O156" s="703"/>
      <c r="P156" s="703"/>
    </row>
    <row r="157" spans="1:16" ht="19.5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3000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3000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3000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IFERROR(__xludf.DUMMYFUNCTION("IMPORTRANGE(""https://docs.google.com/spreadsheets/d/1-uDff_7J0KD5mKrp0Vvzr7lt3OU09vwQwhkpOPPYv2Y/edit?usp=sharing"",""งบพรบ!CA36"")"),3000)</f>
        <v>3000</v>
      </c>
      <c r="M162" s="425">
        <f ca="1">IFERROR(__xludf.DUMMYFUNCTION("IMPORTRANGE(""https://docs.google.com/spreadsheets/d/1-uDff_7J0KD5mKrp0Vvzr7lt3OU09vwQwhkpOPPYv2Y/edit?usp=sharing"",""งบพรบ!CF36"")"),0)</f>
        <v>0</v>
      </c>
      <c r="N162" s="425">
        <f ca="1">IFERROR(__xludf.DUMMYFUNCTION("IMPORTRANGE(""https://docs.google.com/spreadsheets/d/1-uDff_7J0KD5mKrp0Vvzr7lt3OU09vwQwhkpOPPYv2Y/edit?usp=sharing"",""งบพรบ!CH36"")"),0)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IFERROR(__xludf.DUMMYFUNCTION("IMPORTRANGE(""https://docs.google.com/spreadsheets/d/1-uDff_7J0KD5mKrp0Vvzr7lt3OU09vwQwhkpOPPYv2Y/edit?usp=sharing"",""งบพรบ!CD36"")"),0)</f>
        <v>0</v>
      </c>
      <c r="M165" s="425">
        <f ca="1">IFERROR(__xludf.DUMMYFUNCTION("IMPORTRANGE(""https://docs.google.com/spreadsheets/d/1-uDff_7J0KD5mKrp0Vvzr7lt3OU09vwQwhkpOPPYv2Y/edit?usp=sharing"",""งบพรบ!CG36"")"),0)</f>
        <v>0</v>
      </c>
      <c r="N165" s="425">
        <f ca="1">IFERROR(__xludf.DUMMYFUNCTION("IMPORTRANGE(""https://docs.google.com/spreadsheets/d/1-uDff_7J0KD5mKrp0Vvzr7lt3OU09vwQwhkpOPPYv2Y/edit?usp=sharing"",""งบพรบ!CI36"")"),0)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IFERROR(__xludf.DUMMYFUNCTION("IMPORTRANGE(""https://docs.google.com/spreadsheets/d/1eHaY18a8A9IcSdp1K8H6x8fbOy06t2VsZHhMHf-1x7Y/edit?usp=sharing"",""แผน!Z36"")"),10)</f>
        <v>10</v>
      </c>
      <c r="J167" s="595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I167</f>
        <v>10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I167</f>
        <v>10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8</v>
      </c>
      <c r="J172" s="688">
        <f>J183+J184</f>
        <v>0</v>
      </c>
      <c r="K172" s="687">
        <f ca="1">IF(I172&gt;0,J172*100/I172,0)</f>
        <v>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20960</v>
      </c>
      <c r="M173" s="577">
        <f ca="1">M174+M175</f>
        <v>20960</v>
      </c>
      <c r="N173" s="577">
        <f ca="1">N174+N175</f>
        <v>20960</v>
      </c>
      <c r="O173" s="577">
        <f ca="1">IF(L173&gt;0,N173*100/L173,0)</f>
        <v>100</v>
      </c>
      <c r="P173" s="577">
        <f ca="1">IF(M173&gt;0,N173*100/M173,0)</f>
        <v>100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20960</v>
      </c>
      <c r="M175" s="425">
        <f ca="1">M178+M181</f>
        <v>20960</v>
      </c>
      <c r="N175" s="425">
        <f ca="1">N178+N181</f>
        <v>20960</v>
      </c>
      <c r="O175" s="425">
        <f ca="1">IF(L175&gt;0,N175*100/L175,0)</f>
        <v>100</v>
      </c>
      <c r="P175" s="425">
        <f ca="1">IF(M175&gt;0,N175*100/M175,0)</f>
        <v>100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20960</v>
      </c>
      <c r="M176" s="425">
        <f ca="1">M177+M178</f>
        <v>20960</v>
      </c>
      <c r="N176" s="425">
        <f ca="1">N177+N178</f>
        <v>20960</v>
      </c>
      <c r="O176" s="425">
        <f ca="1">IF(L176&gt;0,N176*100/L176,0)</f>
        <v>100</v>
      </c>
      <c r="P176" s="425">
        <f ca="1">IF(M176&gt;0,N176*100/M176,0)</f>
        <v>100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IFERROR(__xludf.DUMMYFUNCTION("IMPORTRANGE(""https://docs.google.com/spreadsheets/d/1-uDff_7J0KD5mKrp0Vvzr7lt3OU09vwQwhkpOPPYv2Y/edit?usp=sharing"",""งบพรบ!CK36"")"),20960)</f>
        <v>20960</v>
      </c>
      <c r="M178" s="425">
        <f ca="1">IFERROR(__xludf.DUMMYFUNCTION("IMPORTRANGE(""https://docs.google.com/spreadsheets/d/1-uDff_7J0KD5mKrp0Vvzr7lt3OU09vwQwhkpOPPYv2Y/edit?usp=sharing"",""งบพรบ!CP36"")"),20960)</f>
        <v>20960</v>
      </c>
      <c r="N178" s="425">
        <f ca="1">IFERROR(__xludf.DUMMYFUNCTION("IMPORTRANGE(""https://docs.google.com/spreadsheets/d/1-uDff_7J0KD5mKrp0Vvzr7lt3OU09vwQwhkpOPPYv2Y/edit?usp=sharing"",""งบพรบ!CR36"")"),20960)</f>
        <v>20960</v>
      </c>
      <c r="O178" s="425">
        <f ca="1">IF(L178&gt;0,N178*100/L178,0)</f>
        <v>100</v>
      </c>
      <c r="P178" s="425">
        <f ca="1">IF(M178&gt;0,N178*100/M178,0)</f>
        <v>100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IFERROR(__xludf.DUMMYFUNCTION("IMPORTRANGE(""https://docs.google.com/spreadsheets/d/1-uDff_7J0KD5mKrp0Vvzr7lt3OU09vwQwhkpOPPYv2Y/edit?usp=sharing"",""งบพรบ!CN36"")"),0)</f>
        <v>0</v>
      </c>
      <c r="M181" s="425">
        <f ca="1">IFERROR(__xludf.DUMMYFUNCTION("IMPORTRANGE(""https://docs.google.com/spreadsheets/d/1-uDff_7J0KD5mKrp0Vvzr7lt3OU09vwQwhkpOPPYv2Y/edit?usp=sharing"",""งบพรบ!CQ36"")"),0)</f>
        <v>0</v>
      </c>
      <c r="N181" s="425">
        <f ca="1">IFERROR(__xludf.DUMMYFUNCTION("IMPORTRANGE(""https://docs.google.com/spreadsheets/d/1-uDff_7J0KD5mKrp0Vvzr7lt3OU09vwQwhkpOPPYv2Y/edit?usp=sharing"",""งบพรบ!CS36"")"),0)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IFERROR(__xludf.DUMMYFUNCTION("IMPORTRANGE(""https://docs.google.com/spreadsheets/d/1eHaY18a8A9IcSdp1K8H6x8fbOy06t2VsZHhMHf-1x7Y/edit?usp=sharing"",""แผน!AA36"")"),8)</f>
        <v>8</v>
      </c>
      <c r="J183" s="595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0</v>
      </c>
      <c r="J185" s="688">
        <f>J230+J231</f>
        <v>0</v>
      </c>
      <c r="K185" s="687">
        <f ca="1">IF(I185&gt;0,J185*100/I185,0)</f>
        <v>0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255500</v>
      </c>
      <c r="M186" s="577">
        <f ca="1">M187+M188</f>
        <v>170500</v>
      </c>
      <c r="N186" s="577">
        <f ca="1">N187+N188</f>
        <v>54580</v>
      </c>
      <c r="O186" s="577">
        <f ca="1">IF(L186&gt;0,N186*100/L186,0)</f>
        <v>21.362035225048924</v>
      </c>
      <c r="P186" s="577">
        <f ca="1">IF(M186&gt;0,N186*100/M186,0)</f>
        <v>32.011730205278596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255500</v>
      </c>
      <c r="M188" s="425">
        <f ca="1">M191+M194</f>
        <v>170500</v>
      </c>
      <c r="N188" s="425">
        <f ca="1">N191+N194</f>
        <v>54580</v>
      </c>
      <c r="O188" s="425">
        <f ca="1">IF(L188&gt;0,N188*100/L188,0)</f>
        <v>21.362035225048924</v>
      </c>
      <c r="P188" s="425">
        <f ca="1">IF(M188&gt;0,N188*100/M188,0)</f>
        <v>32.011730205278596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255500</v>
      </c>
      <c r="M189" s="425">
        <f ca="1">M190+M191</f>
        <v>170500</v>
      </c>
      <c r="N189" s="425">
        <f ca="1">N190+N191</f>
        <v>54580</v>
      </c>
      <c r="O189" s="425">
        <f ca="1">IF(L189&gt;0,N189*100/L189,0)</f>
        <v>21.362035225048924</v>
      </c>
      <c r="P189" s="425">
        <f ca="1">IF(M189&gt;0,N189*100/M189,0)</f>
        <v>32.011730205278596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IFERROR(__xludf.DUMMYFUNCTION("IMPORTRANGE(""https://docs.google.com/spreadsheets/d/1-uDff_7J0KD5mKrp0Vvzr7lt3OU09vwQwhkpOPPYv2Y/edit?usp=sharing"",""งบพรบ!CU36"")"),255500)</f>
        <v>255500</v>
      </c>
      <c r="M191" s="425">
        <f ca="1">IFERROR(__xludf.DUMMYFUNCTION("IMPORTRANGE(""https://docs.google.com/spreadsheets/d/1-uDff_7J0KD5mKrp0Vvzr7lt3OU09vwQwhkpOPPYv2Y/edit?usp=sharing"",""งบพรบ!CZ36"")"),170500)</f>
        <v>170500</v>
      </c>
      <c r="N191" s="425">
        <f ca="1">IFERROR(__xludf.DUMMYFUNCTION("IMPORTRANGE(""https://docs.google.com/spreadsheets/d/1-uDff_7J0KD5mKrp0Vvzr7lt3OU09vwQwhkpOPPYv2Y/edit?usp=sharing"",""งบพรบ!DB36"")"),54580)</f>
        <v>54580</v>
      </c>
      <c r="O191" s="425">
        <f ca="1">IF(L191&gt;0,N191*100/L191,0)</f>
        <v>21.362035225048924</v>
      </c>
      <c r="P191" s="425">
        <f ca="1">IF(M191&gt;0,N191*100/M191,0)</f>
        <v>32.011730205278596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IFERROR(__xludf.DUMMYFUNCTION("IMPORTRANGE(""https://docs.google.com/spreadsheets/d/1-uDff_7J0KD5mKrp0Vvzr7lt3OU09vwQwhkpOPPYv2Y/edit?usp=sharing"",""งบพรบ!CX36"")"),0)</f>
        <v>0</v>
      </c>
      <c r="M194" s="425">
        <f ca="1">IFERROR(__xludf.DUMMYFUNCTION("IMPORTRANGE(""https://docs.google.com/spreadsheets/d/1-uDff_7J0KD5mKrp0Vvzr7lt3OU09vwQwhkpOPPYv2Y/edit?usp=sharing"",""งบพรบ!DA36"")"),0)</f>
        <v>0</v>
      </c>
      <c r="N194" s="425">
        <f ca="1">IFERROR(__xludf.DUMMYFUNCTION("IMPORTRANGE(""https://docs.google.com/spreadsheets/d/1-uDff_7J0KD5mKrp0Vvzr7lt3OU09vwQwhkpOPPYv2Y/edit?usp=sharing"",""งบพรบ!DC36"")"),0)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0</v>
      </c>
      <c r="K195" s="439">
        <f ca="1">IF(I195&gt;0,J195*100/I195,0)</f>
        <v>0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IFERROR(__xludf.DUMMYFUNCTION("IMPORTRANGE(""https://docs.google.com/spreadsheets/d/1eHaY18a8A9IcSdp1K8H6x8fbOy06t2VsZHhMHf-1x7Y/edit?usp=sharing"",""แผน!AB36"")"),6000)</f>
        <v>6000</v>
      </c>
      <c r="M196" s="428"/>
      <c r="N196" s="686">
        <v>0</v>
      </c>
      <c r="O196" s="577">
        <f ca="1">IF(L196&gt;0,N196*100/L196,0)</f>
        <v>0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IFERROR(__xludf.DUMMYFUNCTION("IMPORTRANGE(""https://docs.google.com/spreadsheets/d/1eHaY18a8A9IcSdp1K8H6x8fbOy06t2VsZHhMHf-1x7Y/edit?usp=sharing"",""แผน!AE36"")"),4)</f>
        <v>4</v>
      </c>
      <c r="J198" s="595">
        <v>0</v>
      </c>
      <c r="K198" s="425">
        <f ca="1">IF(I198&gt;0,J198*100/I198,0)</f>
        <v>0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4</v>
      </c>
      <c r="J202" s="438">
        <f>J209</f>
        <v>0</v>
      </c>
      <c r="K202" s="439">
        <f ca="1">IF(I202&gt;0,J202*100/I202,0)</f>
        <v>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57000</v>
      </c>
      <c r="M203" s="428"/>
      <c r="N203" s="577">
        <f>N204+N205+N206+N207</f>
        <v>0</v>
      </c>
      <c r="O203" s="577">
        <f ca="1">IF(L203&gt;0,N203*100/L203,0)</f>
        <v>0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2" t="s">
        <v>157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IFERROR(__xludf.DUMMYFUNCTION("IMPORTRANGE(""https://docs.google.com/spreadsheets/d/1eHaY18a8A9IcSdp1K8H6x8fbOy06t2VsZHhMHf-1x7Y/edit?usp=sharing"",""แผน!AG36"")"),4000)</f>
        <v>4000</v>
      </c>
      <c r="M204" s="428"/>
      <c r="N204" s="683">
        <v>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IFERROR(__xludf.DUMMYFUNCTION("IMPORTRANGE(""https://docs.google.com/spreadsheets/d/1eHaY18a8A9IcSdp1K8H6x8fbOy06t2VsZHhMHf-1x7Y/edit?usp=sharing"",""แผน!AH36"")"),0)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IFERROR(__xludf.DUMMYFUNCTION("IMPORTRANGE(""https://docs.google.com/spreadsheets/d/1eHaY18a8A9IcSdp1K8H6x8fbOy06t2VsZHhMHf-1x7Y/edit?usp=sharing"",""แผน!AI36"")"),32000)</f>
        <v>32000</v>
      </c>
      <c r="M206" s="428"/>
      <c r="N206" s="683">
        <v>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IFERROR(__xludf.DUMMYFUNCTION("IMPORTRANGE(""https://docs.google.com/spreadsheets/d/1eHaY18a8A9IcSdp1K8H6x8fbOy06t2VsZHhMHf-1x7Y/edit?usp=sharing"",""แผน!AJ36"")"),21000)</f>
        <v>21000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IFERROR(__xludf.DUMMYFUNCTION("IMPORTRANGE(""https://docs.google.com/spreadsheets/d/1eHaY18a8A9IcSdp1K8H6x8fbOy06t2VsZHhMHf-1x7Y/edit?usp=sharing"",""แผน!AK36"")"),4)</f>
        <v>4</v>
      </c>
      <c r="J209" s="595">
        <v>0</v>
      </c>
      <c r="K209" s="621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IFERROR(__xludf.DUMMYFUNCTION("IMPORTRANGE(""https://docs.google.com/spreadsheets/d/1eHaY18a8A9IcSdp1K8H6x8fbOy06t2VsZHhMHf-1x7Y/edit?usp=sharing"",""แผน!JX36"")"),4)</f>
        <v>4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IFERROR(__xludf.DUMMYFUNCTION("IMPORTRANGE(""https://docs.google.com/spreadsheets/d/1eHaY18a8A9IcSdp1K8H6x8fbOy06t2VsZHhMHf-1x7Y/edit?usp=sharing"",""แผน!JY36"")"),1)</f>
        <v>1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hidden="1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0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hidden="1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hidden="1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IFERROR(__xludf.DUMMYFUNCTION("IMPORTRANGE(""https://docs.google.com/spreadsheets/d/1eHaY18a8A9IcSdp1K8H6x8fbOy06t2VsZHhMHf-1x7Y/edit?usp=sharing"",""แผน!AM36"")"),0)</f>
        <v>0</v>
      </c>
      <c r="M215" s="428"/>
      <c r="N215" s="683">
        <v>0</v>
      </c>
      <c r="O215" s="525"/>
      <c r="P215" s="428"/>
    </row>
    <row r="216" spans="1:16" ht="18.75" hidden="1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IFERROR(__xludf.DUMMYFUNCTION("IMPORTRANGE(""https://docs.google.com/spreadsheets/d/1eHaY18a8A9IcSdp1K8H6x8fbOy06t2VsZHhMHf-1x7Y/edit?usp=sharing"",""แผน!AN36"")"),0)</f>
        <v>0</v>
      </c>
      <c r="M216" s="428"/>
      <c r="N216" s="683">
        <v>0</v>
      </c>
      <c r="O216" s="525"/>
      <c r="P216" s="428"/>
    </row>
    <row r="217" spans="1:16" ht="18.75" hidden="1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IFERROR(__xludf.DUMMYFUNCTION("IMPORTRANGE(""https://docs.google.com/spreadsheets/d/1eHaY18a8A9IcSdp1K8H6x8fbOy06t2VsZHhMHf-1x7Y/edit?usp=sharing"",""แผน!AO36"")"),0)</f>
        <v>0</v>
      </c>
      <c r="M217" s="428"/>
      <c r="N217" s="683">
        <v>0</v>
      </c>
      <c r="O217" s="525"/>
      <c r="P217" s="428"/>
    </row>
    <row r="218" spans="1:16" ht="19.5" hidden="1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hidden="1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IFERROR(__xludf.DUMMYFUNCTION("IMPORTRANGE(""https://docs.google.com/spreadsheets/d/1eHaY18a8A9IcSdp1K8H6x8fbOy06t2VsZHhMHf-1x7Y/edit?usp=sharing"",""แผน!AP36"")"),0)</f>
        <v>0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hidden="1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IFERROR(__xludf.DUMMYFUNCTION("IMPORTRANGE(""https://docs.google.com/spreadsheets/d/1eHaY18a8A9IcSdp1K8H6x8fbOy06t2VsZHhMHf-1x7Y/edit?usp=sharing"",""แผน!AP36"")"),0)</f>
        <v>0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70000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10500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2" t="s">
        <v>156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IFERROR(__xludf.DUMMYFUNCTION("IMPORTRANGE(""https://docs.google.com/spreadsheets/d/1eHaY18a8A9IcSdp1K8H6x8fbOy06t2VsZHhMHf-1x7Y/edit?usp=sharing"",""แผน!AR36"")"),9000)</f>
        <v>9000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IFERROR(__xludf.DUMMYFUNCTION("IMPORTRANGE(""https://docs.google.com/spreadsheets/d/1eHaY18a8A9IcSdp1K8H6x8fbOy06t2VsZHhMHf-1x7Y/edit?usp=sharing"",""แผน!AS36"")"),1500)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IFERROR(__xludf.DUMMYFUNCTION("IMPORTRANGE(""https://docs.google.com/spreadsheets/d/1eHaY18a8A9IcSdp1K8H6x8fbOy06t2VsZHhMHf-1x7Y/edit?usp=sharing"",""แผน!AT36"")"),0)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IFERROR(__xludf.DUMMYFUNCTION("IMPORTRANGE(""https://docs.google.com/spreadsheets/d/1eHaY18a8A9IcSdp1K8H6x8fbOy06t2VsZHhMHf-1x7Y/edit?usp=sharing"",""แผน!AV36"")"),70000)</f>
        <v>70000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IFERROR(__xludf.DUMMYFUNCTION("IMPORTRANGE(""https://docs.google.com/spreadsheets/d/1eHaY18a8A9IcSdp1K8H6x8fbOy06t2VsZHhMHf-1x7Y/edit?usp=sharing"",""แผน!AV36"")"),70000)</f>
        <v>70000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IFERROR(__xludf.DUMMYFUNCTION("IMPORTRANGE(""https://docs.google.com/spreadsheets/d/1eHaY18a8A9IcSdp1K8H6x8fbOy06t2VsZHhMHf-1x7Y/edit?usp=sharing"",""แผน!AU36"")"),0)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432"/>
      <c r="B231" s="434"/>
      <c r="C231" s="682" t="s">
        <v>99</v>
      </c>
      <c r="D231" s="433"/>
      <c r="E231" s="433"/>
      <c r="F231" s="433"/>
      <c r="G231" s="436"/>
      <c r="H231" s="437" t="s">
        <v>33</v>
      </c>
      <c r="I231" s="438">
        <f ca="1">I242+I253</f>
        <v>0</v>
      </c>
      <c r="J231" s="438">
        <f>J242+J253</f>
        <v>0</v>
      </c>
      <c r="K231" s="439">
        <f ca="1">IF(I231&gt;0,J231*100/I231,0)</f>
        <v>0</v>
      </c>
      <c r="L231" s="571"/>
      <c r="M231" s="571"/>
      <c r="N231" s="571"/>
      <c r="O231" s="571"/>
      <c r="P231" s="571"/>
    </row>
    <row r="232" spans="1:16" ht="19.5" hidden="1" x14ac:dyDescent="0.3">
      <c r="A232" s="535"/>
      <c r="B232" s="418"/>
      <c r="C232" s="570" t="s">
        <v>16</v>
      </c>
      <c r="D232" s="579" t="s">
        <v>17</v>
      </c>
      <c r="E232" s="418"/>
      <c r="F232" s="418"/>
      <c r="G232" s="422"/>
      <c r="H232" s="681" t="s">
        <v>12</v>
      </c>
      <c r="I232" s="526"/>
      <c r="J232" s="526"/>
      <c r="K232" s="525"/>
      <c r="L232" s="577">
        <f ca="1">L243+L254</f>
        <v>0</v>
      </c>
      <c r="M232" s="428"/>
      <c r="N232" s="577">
        <f>N243+N254</f>
        <v>0</v>
      </c>
      <c r="O232" s="428"/>
      <c r="P232" s="428"/>
    </row>
    <row r="233" spans="1:16" ht="18.75" hidden="1" x14ac:dyDescent="0.25">
      <c r="A233" s="535"/>
      <c r="B233" s="419"/>
      <c r="C233" s="418"/>
      <c r="D233" s="293" t="s">
        <v>80</v>
      </c>
      <c r="E233" s="418"/>
      <c r="F233" s="418"/>
      <c r="G233" s="422"/>
      <c r="H233" s="576" t="s">
        <v>12</v>
      </c>
      <c r="I233" s="526"/>
      <c r="J233" s="526"/>
      <c r="K233" s="525"/>
      <c r="L233" s="425">
        <f ca="1">L244+L255</f>
        <v>0</v>
      </c>
      <c r="M233" s="428"/>
      <c r="N233" s="425">
        <f>N244+N255</f>
        <v>0</v>
      </c>
      <c r="O233" s="428"/>
      <c r="P233" s="428"/>
    </row>
    <row r="234" spans="1:16" ht="18.75" hidden="1" x14ac:dyDescent="0.25">
      <c r="A234" s="417"/>
      <c r="B234" s="419"/>
      <c r="C234" s="419"/>
      <c r="D234" s="293" t="s">
        <v>82</v>
      </c>
      <c r="E234" s="418"/>
      <c r="F234" s="418"/>
      <c r="G234" s="422"/>
      <c r="H234" s="576" t="s">
        <v>12</v>
      </c>
      <c r="I234" s="427"/>
      <c r="J234" s="427"/>
      <c r="K234" s="428"/>
      <c r="L234" s="425">
        <f ca="1">L245+L256</f>
        <v>0</v>
      </c>
      <c r="M234" s="428"/>
      <c r="N234" s="425">
        <f>N245+N256</f>
        <v>0</v>
      </c>
      <c r="O234" s="428"/>
      <c r="P234" s="428"/>
    </row>
    <row r="235" spans="1:16" ht="18.75" hidden="1" x14ac:dyDescent="0.25">
      <c r="A235" s="417"/>
      <c r="B235" s="419"/>
      <c r="C235" s="419"/>
      <c r="D235" s="293" t="s">
        <v>100</v>
      </c>
      <c r="E235" s="418"/>
      <c r="F235" s="418"/>
      <c r="G235" s="422"/>
      <c r="H235" s="576" t="s">
        <v>12</v>
      </c>
      <c r="I235" s="427"/>
      <c r="J235" s="427"/>
      <c r="K235" s="428"/>
      <c r="L235" s="425">
        <f ca="1">L246+L257</f>
        <v>0</v>
      </c>
      <c r="M235" s="428"/>
      <c r="N235" s="425">
        <f>N246+N257</f>
        <v>0</v>
      </c>
      <c r="O235" s="428"/>
      <c r="P235" s="428"/>
    </row>
    <row r="236" spans="1:16" ht="18.75" hidden="1" x14ac:dyDescent="0.25">
      <c r="A236" s="417"/>
      <c r="B236" s="419"/>
      <c r="C236" s="419"/>
      <c r="D236" s="293" t="s">
        <v>101</v>
      </c>
      <c r="E236" s="418"/>
      <c r="F236" s="418"/>
      <c r="G236" s="422"/>
      <c r="H236" s="576" t="s">
        <v>12</v>
      </c>
      <c r="I236" s="427"/>
      <c r="J236" s="427"/>
      <c r="K236" s="428"/>
      <c r="L236" s="425">
        <f ca="1">L247+L258</f>
        <v>0</v>
      </c>
      <c r="M236" s="428"/>
      <c r="N236" s="425">
        <f>N247+N258</f>
        <v>0</v>
      </c>
      <c r="O236" s="428"/>
      <c r="P236" s="428"/>
    </row>
    <row r="237" spans="1:16" ht="19.5" hidden="1" x14ac:dyDescent="0.3">
      <c r="A237" s="532"/>
      <c r="B237" s="430"/>
      <c r="C237" s="680" t="s">
        <v>16</v>
      </c>
      <c r="D237" s="569" t="s">
        <v>36</v>
      </c>
      <c r="E237" s="529"/>
      <c r="F237" s="529"/>
      <c r="G237" s="528"/>
      <c r="H237" s="527"/>
      <c r="I237" s="526"/>
      <c r="J237" s="427"/>
      <c r="K237" s="428"/>
      <c r="L237" s="428"/>
      <c r="M237" s="428"/>
      <c r="N237" s="428"/>
      <c r="O237" s="525"/>
      <c r="P237" s="525"/>
    </row>
    <row r="238" spans="1:16" ht="18.75" hidden="1" x14ac:dyDescent="0.25">
      <c r="A238" s="532"/>
      <c r="B238" s="430"/>
      <c r="C238" s="430"/>
      <c r="D238" s="421" t="s">
        <v>102</v>
      </c>
      <c r="E238" s="420"/>
      <c r="F238" s="420"/>
      <c r="G238" s="527"/>
      <c r="H238" s="566" t="s">
        <v>33</v>
      </c>
      <c r="I238" s="424">
        <f ca="1">I249+I260</f>
        <v>0</v>
      </c>
      <c r="J238" s="424">
        <f>J249+J260</f>
        <v>0</v>
      </c>
      <c r="K238" s="425">
        <f ca="1">IF(I238&gt;0,J238*100/I238,0)</f>
        <v>0</v>
      </c>
      <c r="L238" s="428"/>
      <c r="M238" s="428"/>
      <c r="N238" s="428"/>
      <c r="O238" s="428"/>
      <c r="P238" s="428"/>
    </row>
    <row r="239" spans="1:16" ht="18.75" hidden="1" x14ac:dyDescent="0.25">
      <c r="A239" s="532"/>
      <c r="B239" s="430"/>
      <c r="C239" s="430"/>
      <c r="D239" s="679" t="s">
        <v>41</v>
      </c>
      <c r="E239" s="420"/>
      <c r="F239" s="420"/>
      <c r="G239" s="527"/>
      <c r="H239" s="527"/>
      <c r="I239" s="427"/>
      <c r="J239" s="427"/>
      <c r="K239" s="428"/>
      <c r="L239" s="428"/>
      <c r="M239" s="428"/>
      <c r="N239" s="428"/>
      <c r="O239" s="525"/>
      <c r="P239" s="525"/>
    </row>
    <row r="240" spans="1:16" ht="18.75" hidden="1" x14ac:dyDescent="0.25">
      <c r="A240" s="532"/>
      <c r="B240" s="430"/>
      <c r="C240" s="430"/>
      <c r="D240" s="430"/>
      <c r="E240" s="567" t="s">
        <v>103</v>
      </c>
      <c r="F240" s="420"/>
      <c r="G240" s="527"/>
      <c r="H240" s="566" t="s">
        <v>33</v>
      </c>
      <c r="I240" s="424">
        <f>I251+I262</f>
        <v>0</v>
      </c>
      <c r="J240" s="424">
        <f>J251+J262</f>
        <v>0</v>
      </c>
      <c r="K240" s="425">
        <f>IF(I240&gt;0,J240*100/I240,0)</f>
        <v>0</v>
      </c>
      <c r="L240" s="428"/>
      <c r="M240" s="428"/>
      <c r="N240" s="428"/>
      <c r="O240" s="428"/>
      <c r="P240" s="428"/>
    </row>
    <row r="241" spans="1:16" ht="18.75" hidden="1" x14ac:dyDescent="0.25">
      <c r="A241" s="532"/>
      <c r="B241" s="430"/>
      <c r="C241" s="430"/>
      <c r="D241" s="430"/>
      <c r="E241" s="567" t="s">
        <v>104</v>
      </c>
      <c r="F241" s="420"/>
      <c r="G241" s="527"/>
      <c r="H241" s="566" t="s">
        <v>54</v>
      </c>
      <c r="I241" s="424">
        <f>I252+I263</f>
        <v>0</v>
      </c>
      <c r="J241" s="424">
        <f>J252+J263</f>
        <v>0</v>
      </c>
      <c r="K241" s="425">
        <f>IF(I241&gt;0,J241*100/I241,0)</f>
        <v>0</v>
      </c>
      <c r="L241" s="428"/>
      <c r="M241" s="428"/>
      <c r="N241" s="428"/>
      <c r="O241" s="428"/>
      <c r="P241" s="428"/>
    </row>
    <row r="242" spans="1:16" ht="19.5" hidden="1" x14ac:dyDescent="0.3">
      <c r="A242" s="432"/>
      <c r="B242" s="434"/>
      <c r="C242" s="678" t="s">
        <v>105</v>
      </c>
      <c r="D242" s="433"/>
      <c r="E242" s="433"/>
      <c r="F242" s="433"/>
      <c r="G242" s="436"/>
      <c r="H242" s="677" t="s">
        <v>33</v>
      </c>
      <c r="I242" s="676">
        <f ca="1">I249</f>
        <v>0</v>
      </c>
      <c r="J242" s="676">
        <f>J249</f>
        <v>0</v>
      </c>
      <c r="K242" s="675">
        <f ca="1">IF(I242&gt;0,J242*100/I242,0)</f>
        <v>0</v>
      </c>
      <c r="L242" s="571"/>
      <c r="M242" s="571"/>
      <c r="N242" s="571"/>
      <c r="O242" s="571"/>
      <c r="P242" s="571"/>
    </row>
    <row r="243" spans="1:16" ht="19.5" hidden="1" x14ac:dyDescent="0.3">
      <c r="A243" s="535"/>
      <c r="B243" s="418"/>
      <c r="C243" s="531" t="s">
        <v>16</v>
      </c>
      <c r="D243" s="541" t="s">
        <v>17</v>
      </c>
      <c r="E243" s="418"/>
      <c r="F243" s="418"/>
      <c r="G243" s="422"/>
      <c r="H243" s="673" t="s">
        <v>12</v>
      </c>
      <c r="I243" s="526"/>
      <c r="J243" s="526"/>
      <c r="K243" s="525"/>
      <c r="L243" s="539">
        <f ca="1">L244+L245+L246+L247</f>
        <v>0</v>
      </c>
      <c r="M243" s="428"/>
      <c r="N243" s="539">
        <f>N244+N245+N246+N247</f>
        <v>0</v>
      </c>
      <c r="O243" s="539">
        <f ca="1">IF(L243&gt;0,N243*100/L243,0)</f>
        <v>0</v>
      </c>
      <c r="P243" s="539">
        <f>IF(M243&gt;0,N243*100/M243,0)</f>
        <v>0</v>
      </c>
    </row>
    <row r="244" spans="1:16" ht="18.75" hidden="1" x14ac:dyDescent="0.25">
      <c r="A244" s="535"/>
      <c r="B244" s="419"/>
      <c r="C244" s="418"/>
      <c r="D244" s="534" t="s">
        <v>80</v>
      </c>
      <c r="E244" s="418"/>
      <c r="F244" s="418"/>
      <c r="G244" s="422"/>
      <c r="H244" s="536" t="s">
        <v>12</v>
      </c>
      <c r="I244" s="526"/>
      <c r="J244" s="526"/>
      <c r="K244" s="525"/>
      <c r="L244" s="521">
        <f ca="1">IFERROR(__xludf.DUMMYFUNCTION("IMPORTRANGE(""https://docs.google.com/spreadsheets/d/1eHaY18a8A9IcSdp1K8H6x8fbOy06t2VsZHhMHf-1x7Y/edit?usp=sharing"",""แผน!AX36"")"),0)</f>
        <v>0</v>
      </c>
      <c r="M244" s="428"/>
      <c r="N244" s="672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34" t="s">
        <v>82</v>
      </c>
      <c r="E245" s="418"/>
      <c r="F245" s="418"/>
      <c r="G245" s="422"/>
      <c r="H245" s="536" t="s">
        <v>12</v>
      </c>
      <c r="I245" s="427"/>
      <c r="J245" s="427"/>
      <c r="K245" s="428"/>
      <c r="L245" s="521">
        <f ca="1">IFERROR(__xludf.DUMMYFUNCTION("IMPORTRANGE(""https://docs.google.com/spreadsheets/d/1eHaY18a8A9IcSdp1K8H6x8fbOy06t2VsZHhMHf-1x7Y/edit?usp=sharing"",""แผน!AY36"")"),0)</f>
        <v>0</v>
      </c>
      <c r="M245" s="428"/>
      <c r="N245" s="672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34" t="s">
        <v>100</v>
      </c>
      <c r="E246" s="418"/>
      <c r="F246" s="418"/>
      <c r="G246" s="422"/>
      <c r="H246" s="536" t="s">
        <v>12</v>
      </c>
      <c r="I246" s="427"/>
      <c r="J246" s="427"/>
      <c r="K246" s="428"/>
      <c r="L246" s="521">
        <f ca="1">IFERROR(__xludf.DUMMYFUNCTION("IMPORTRANGE(""https://docs.google.com/spreadsheets/d/1eHaY18a8A9IcSdp1K8H6x8fbOy06t2VsZHhMHf-1x7Y/edit?usp=sharing"",""แผน!AZ36"")"),0)</f>
        <v>0</v>
      </c>
      <c r="M246" s="428"/>
      <c r="N246" s="672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34" t="s">
        <v>101</v>
      </c>
      <c r="E247" s="418"/>
      <c r="F247" s="418"/>
      <c r="G247" s="422"/>
      <c r="H247" s="536" t="s">
        <v>12</v>
      </c>
      <c r="I247" s="427"/>
      <c r="J247" s="427"/>
      <c r="K247" s="428"/>
      <c r="L247" s="521">
        <f ca="1">IFERROR(__xludf.DUMMYFUNCTION("IMPORTRANGE(""https://docs.google.com/spreadsheets/d/1eHaY18a8A9IcSdp1K8H6x8fbOy06t2VsZHhMHf-1x7Y/edit?usp=sharing"",""แผน!BA36"")"),0)</f>
        <v>0</v>
      </c>
      <c r="M247" s="428"/>
      <c r="N247" s="672">
        <v>0</v>
      </c>
      <c r="O247" s="428"/>
      <c r="P247" s="428"/>
    </row>
    <row r="248" spans="1:16" ht="19.5" hidden="1" x14ac:dyDescent="0.3">
      <c r="A248" s="532"/>
      <c r="B248" s="430"/>
      <c r="C248" s="671" t="s">
        <v>16</v>
      </c>
      <c r="D248" s="530" t="s">
        <v>36</v>
      </c>
      <c r="E248" s="529"/>
      <c r="F248" s="529"/>
      <c r="G248" s="528"/>
      <c r="H248" s="527"/>
      <c r="I248" s="526"/>
      <c r="J248" s="427"/>
      <c r="K248" s="428"/>
      <c r="L248" s="428"/>
      <c r="M248" s="428"/>
      <c r="N248" s="428"/>
      <c r="O248" s="525"/>
      <c r="P248" s="525"/>
    </row>
    <row r="249" spans="1:16" ht="18.75" hidden="1" x14ac:dyDescent="0.25">
      <c r="A249" s="532"/>
      <c r="B249" s="430"/>
      <c r="C249" s="430"/>
      <c r="D249" s="524" t="s">
        <v>102</v>
      </c>
      <c r="E249" s="420"/>
      <c r="F249" s="420"/>
      <c r="G249" s="527"/>
      <c r="H249" s="668" t="s">
        <v>33</v>
      </c>
      <c r="I249" s="199">
        <f ca="1">IFERROR(__xludf.DUMMYFUNCTION("IMPORTRANGE(""https://docs.google.com/spreadsheets/d/1eHaY18a8A9IcSdp1K8H6x8fbOy06t2VsZHhMHf-1x7Y/edit?usp=sharing"",""แผน!BG36"")"),0)</f>
        <v>0</v>
      </c>
      <c r="J249" s="522">
        <v>0</v>
      </c>
      <c r="K249" s="521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2"/>
      <c r="B250" s="430"/>
      <c r="C250" s="430"/>
      <c r="D250" s="670" t="s">
        <v>41</v>
      </c>
      <c r="E250" s="420"/>
      <c r="F250" s="420"/>
      <c r="G250" s="527"/>
      <c r="H250" s="527"/>
      <c r="I250" s="427"/>
      <c r="J250" s="427"/>
      <c r="K250" s="428"/>
      <c r="L250" s="428"/>
      <c r="M250" s="428"/>
      <c r="N250" s="428"/>
      <c r="O250" s="525"/>
      <c r="P250" s="525"/>
    </row>
    <row r="251" spans="1:16" ht="18.75" hidden="1" x14ac:dyDescent="0.25">
      <c r="A251" s="532"/>
      <c r="B251" s="430"/>
      <c r="C251" s="430"/>
      <c r="D251" s="430"/>
      <c r="E251" s="669" t="s">
        <v>103</v>
      </c>
      <c r="F251" s="420"/>
      <c r="G251" s="527"/>
      <c r="H251" s="668" t="s">
        <v>33</v>
      </c>
      <c r="I251" s="199">
        <v>0</v>
      </c>
      <c r="J251" s="522">
        <v>0</v>
      </c>
      <c r="K251" s="521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2"/>
      <c r="B252" s="430"/>
      <c r="C252" s="430"/>
      <c r="D252" s="430"/>
      <c r="E252" s="669" t="s">
        <v>104</v>
      </c>
      <c r="F252" s="420"/>
      <c r="G252" s="527"/>
      <c r="H252" s="668" t="s">
        <v>54</v>
      </c>
      <c r="I252" s="199">
        <v>0</v>
      </c>
      <c r="J252" s="522">
        <v>0</v>
      </c>
      <c r="K252" s="521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78" t="s">
        <v>106</v>
      </c>
      <c r="D253" s="433"/>
      <c r="E253" s="433"/>
      <c r="F253" s="433"/>
      <c r="G253" s="436"/>
      <c r="H253" s="677" t="s">
        <v>33</v>
      </c>
      <c r="I253" s="676">
        <f ca="1">I260</f>
        <v>0</v>
      </c>
      <c r="J253" s="676">
        <f>J260</f>
        <v>0</v>
      </c>
      <c r="K253" s="675">
        <f ca="1">IF(I253&gt;0,J253*100/I253,0)</f>
        <v>0</v>
      </c>
      <c r="L253" s="571"/>
      <c r="M253" s="571"/>
      <c r="N253" s="571"/>
      <c r="O253" s="571"/>
      <c r="P253" s="571"/>
    </row>
    <row r="254" spans="1:16" ht="19.5" hidden="1" x14ac:dyDescent="0.3">
      <c r="A254" s="535"/>
      <c r="B254" s="418"/>
      <c r="C254" s="531" t="s">
        <v>16</v>
      </c>
      <c r="D254" s="674" t="s">
        <v>17</v>
      </c>
      <c r="E254" s="418"/>
      <c r="F254" s="418"/>
      <c r="G254" s="422"/>
      <c r="H254" s="673" t="s">
        <v>12</v>
      </c>
      <c r="I254" s="526"/>
      <c r="J254" s="526"/>
      <c r="K254" s="525"/>
      <c r="L254" s="539">
        <f ca="1">L255+L256+L257+L258</f>
        <v>0</v>
      </c>
      <c r="M254" s="428"/>
      <c r="N254" s="539">
        <f>N255+N256+N257+N258</f>
        <v>0</v>
      </c>
      <c r="O254" s="539">
        <f ca="1">IF(L254&gt;0,N254*100/L254,0)</f>
        <v>0</v>
      </c>
      <c r="P254" s="539">
        <f>IF(M254&gt;0,N254*100/M254,0)</f>
        <v>0</v>
      </c>
    </row>
    <row r="255" spans="1:16" ht="18.75" hidden="1" x14ac:dyDescent="0.25">
      <c r="A255" s="535"/>
      <c r="B255" s="419"/>
      <c r="C255" s="418"/>
      <c r="D255" s="534" t="s">
        <v>80</v>
      </c>
      <c r="E255" s="418"/>
      <c r="F255" s="418"/>
      <c r="G255" s="422"/>
      <c r="H255" s="536" t="s">
        <v>12</v>
      </c>
      <c r="I255" s="526"/>
      <c r="J255" s="526"/>
      <c r="K255" s="525"/>
      <c r="L255" s="521">
        <f ca="1">IFERROR(__xludf.DUMMYFUNCTION("IMPORTRANGE(""https://docs.google.com/spreadsheets/d/1eHaY18a8A9IcSdp1K8H6x8fbOy06t2VsZHhMHf-1x7Y/edit?usp=sharing"",""แผน!BB36"")"),0)</f>
        <v>0</v>
      </c>
      <c r="M255" s="428"/>
      <c r="N255" s="672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34" t="s">
        <v>82</v>
      </c>
      <c r="E256" s="418"/>
      <c r="F256" s="418"/>
      <c r="G256" s="422"/>
      <c r="H256" s="536" t="s">
        <v>12</v>
      </c>
      <c r="I256" s="427"/>
      <c r="J256" s="427"/>
      <c r="K256" s="428"/>
      <c r="L256" s="521">
        <f ca="1">IFERROR(__xludf.DUMMYFUNCTION("IMPORTRANGE(""https://docs.google.com/spreadsheets/d/1eHaY18a8A9IcSdp1K8H6x8fbOy06t2VsZHhMHf-1x7Y/edit?usp=sharing"",""แผน!BC36"")"),0)</f>
        <v>0</v>
      </c>
      <c r="M256" s="428"/>
      <c r="N256" s="672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34" t="s">
        <v>100</v>
      </c>
      <c r="E257" s="418"/>
      <c r="F257" s="418"/>
      <c r="G257" s="422"/>
      <c r="H257" s="536" t="s">
        <v>12</v>
      </c>
      <c r="I257" s="427"/>
      <c r="J257" s="427"/>
      <c r="K257" s="428"/>
      <c r="L257" s="521">
        <f ca="1">IFERROR(__xludf.DUMMYFUNCTION("IMPORTRANGE(""https://docs.google.com/spreadsheets/d/1eHaY18a8A9IcSdp1K8H6x8fbOy06t2VsZHhMHf-1x7Y/edit?usp=sharing"",""แผน!BD36"")"),0)</f>
        <v>0</v>
      </c>
      <c r="M257" s="428"/>
      <c r="N257" s="672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34" t="s">
        <v>101</v>
      </c>
      <c r="E258" s="418"/>
      <c r="F258" s="418"/>
      <c r="G258" s="422"/>
      <c r="H258" s="536" t="s">
        <v>12</v>
      </c>
      <c r="I258" s="427"/>
      <c r="J258" s="427"/>
      <c r="K258" s="428"/>
      <c r="L258" s="521">
        <f ca="1">IFERROR(__xludf.DUMMYFUNCTION("IMPORTRANGE(""https://docs.google.com/spreadsheets/d/1eHaY18a8A9IcSdp1K8H6x8fbOy06t2VsZHhMHf-1x7Y/edit?usp=sharing"",""แผน!BE36"")"),0)</f>
        <v>0</v>
      </c>
      <c r="M258" s="428"/>
      <c r="N258" s="672">
        <v>0</v>
      </c>
      <c r="O258" s="428"/>
      <c r="P258" s="428"/>
    </row>
    <row r="259" spans="1:16" ht="19.5" hidden="1" x14ac:dyDescent="0.3">
      <c r="A259" s="532"/>
      <c r="B259" s="430"/>
      <c r="C259" s="671" t="s">
        <v>16</v>
      </c>
      <c r="D259" s="530" t="s">
        <v>36</v>
      </c>
      <c r="E259" s="529"/>
      <c r="F259" s="529"/>
      <c r="G259" s="528"/>
      <c r="H259" s="527"/>
      <c r="I259" s="526"/>
      <c r="J259" s="427"/>
      <c r="K259" s="428"/>
      <c r="L259" s="428"/>
      <c r="M259" s="428"/>
      <c r="N259" s="428"/>
      <c r="O259" s="525"/>
      <c r="P259" s="525"/>
    </row>
    <row r="260" spans="1:16" ht="18.75" hidden="1" x14ac:dyDescent="0.25">
      <c r="A260" s="532"/>
      <c r="B260" s="430"/>
      <c r="C260" s="430"/>
      <c r="D260" s="524" t="s">
        <v>102</v>
      </c>
      <c r="E260" s="420"/>
      <c r="F260" s="420"/>
      <c r="G260" s="527"/>
      <c r="H260" s="668" t="s">
        <v>33</v>
      </c>
      <c r="I260" s="199">
        <f ca="1">IFERROR(__xludf.DUMMYFUNCTION("IMPORTRANGE(""https://docs.google.com/spreadsheets/d/1eHaY18a8A9IcSdp1K8H6x8fbOy06t2VsZHhMHf-1x7Y/edit?usp=sharing"",""แผน!BH36"")"),0)</f>
        <v>0</v>
      </c>
      <c r="J260" s="522">
        <v>0</v>
      </c>
      <c r="K260" s="521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2"/>
      <c r="B261" s="430"/>
      <c r="C261" s="430"/>
      <c r="D261" s="670" t="s">
        <v>41</v>
      </c>
      <c r="E261" s="420"/>
      <c r="F261" s="420"/>
      <c r="G261" s="527"/>
      <c r="H261" s="527"/>
      <c r="I261" s="427"/>
      <c r="J261" s="427"/>
      <c r="K261" s="428"/>
      <c r="L261" s="428"/>
      <c r="M261" s="428"/>
      <c r="N261" s="428"/>
      <c r="O261" s="525"/>
      <c r="P261" s="525"/>
    </row>
    <row r="262" spans="1:16" ht="18.75" hidden="1" x14ac:dyDescent="0.25">
      <c r="A262" s="532"/>
      <c r="B262" s="430"/>
      <c r="C262" s="430"/>
      <c r="D262" s="430"/>
      <c r="E262" s="669" t="s">
        <v>103</v>
      </c>
      <c r="F262" s="420"/>
      <c r="G262" s="527"/>
      <c r="H262" s="668" t="s">
        <v>33</v>
      </c>
      <c r="I262" s="427"/>
      <c r="J262" s="522">
        <v>0</v>
      </c>
      <c r="K262" s="521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2"/>
      <c r="B263" s="430"/>
      <c r="C263" s="430"/>
      <c r="D263" s="430"/>
      <c r="E263" s="669" t="s">
        <v>104</v>
      </c>
      <c r="F263" s="420"/>
      <c r="G263" s="527"/>
      <c r="H263" s="668" t="s">
        <v>54</v>
      </c>
      <c r="I263" s="427"/>
      <c r="J263" s="522">
        <v>0</v>
      </c>
      <c r="K263" s="521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IFERROR(__xludf.DUMMYFUNCTION("IMPORTRANGE(""https://docs.google.com/spreadsheets/d/1-uDff_7J0KD5mKrp0Vvzr7lt3OU09vwQwhkpOPPYv2Y/edit?usp=sharing"",""งบพรบ!DE36"")"),0)</f>
        <v>0</v>
      </c>
      <c r="M271" s="521">
        <f ca="1">IFERROR(__xludf.DUMMYFUNCTION("IMPORTRANGE(""https://docs.google.com/spreadsheets/d/1-uDff_7J0KD5mKrp0Vvzr7lt3OU09vwQwhkpOPPYv2Y/edit?usp=sharing"",""งบพรบ!DJ36"")"),0)</f>
        <v>0</v>
      </c>
      <c r="N271" s="521">
        <f ca="1">IFERROR(__xludf.DUMMYFUNCTION("IMPORTRANGE(""https://docs.google.com/spreadsheets/d/1-uDff_7J0KD5mKrp0Vvzr7lt3OU09vwQwhkpOPPYv2Y/edit?usp=sharing"",""งบพรบ!DL36"")"),0)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IFERROR(__xludf.DUMMYFUNCTION("IMPORTRANGE(""https://docs.google.com/spreadsheets/d/1-uDff_7J0KD5mKrp0Vvzr7lt3OU09vwQwhkpOPPYv2Y/edit?usp=sharing"",""งบพรบ!DH36"")"),0)</f>
        <v>0</v>
      </c>
      <c r="M274" s="521">
        <f ca="1">IFERROR(__xludf.DUMMYFUNCTION("IMPORTRANGE(""https://docs.google.com/spreadsheets/d/1-uDff_7J0KD5mKrp0Vvzr7lt3OU09vwQwhkpOPPYv2Y/edit?usp=sharing"",""งบพรบ!DK36"")"),0)</f>
        <v>0</v>
      </c>
      <c r="N274" s="521">
        <f ca="1">IFERROR(__xludf.DUMMYFUNCTION("IMPORTRANGE(""https://docs.google.com/spreadsheets/d/1-uDff_7J0KD5mKrp0Vvzr7lt3OU09vwQwhkpOPPYv2Y/edit?usp=sharing"",""งบพรบ!DM36"")"),0)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60</v>
      </c>
      <c r="J280" s="629">
        <f>J293</f>
        <v>0</v>
      </c>
      <c r="K280" s="628">
        <f ca="1">IF(I280&gt;0,J280*100/I280,0)</f>
        <v>0</v>
      </c>
      <c r="L280" s="627"/>
      <c r="M280" s="627"/>
      <c r="N280" s="627"/>
      <c r="O280" s="627"/>
      <c r="P280" s="627"/>
    </row>
    <row r="281" spans="1:16" ht="19.5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600</v>
      </c>
      <c r="J281" s="629">
        <f>J292</f>
        <v>0</v>
      </c>
      <c r="K281" s="628">
        <f ca="1">IF(I281&gt;0,J281*100/I281,0)</f>
        <v>0</v>
      </c>
      <c r="L281" s="627"/>
      <c r="M281" s="627"/>
      <c r="N281" s="627"/>
      <c r="O281" s="627"/>
      <c r="P281" s="627"/>
    </row>
    <row r="282" spans="1:16" ht="19.5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219620</v>
      </c>
      <c r="M282" s="577">
        <f ca="1">M283+M284</f>
        <v>182480</v>
      </c>
      <c r="N282" s="577">
        <f ca="1">N283+N284</f>
        <v>68748.75</v>
      </c>
      <c r="O282" s="577">
        <f ca="1">IF(L282&gt;0,N282*100/L282,0)</f>
        <v>31.303501502595392</v>
      </c>
      <c r="P282" s="577">
        <f ca="1">IF(M282&gt;0,N282*100/M282,0)</f>
        <v>37.674676676896098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219620</v>
      </c>
      <c r="M284" s="425">
        <f ca="1">M287+M290</f>
        <v>182480</v>
      </c>
      <c r="N284" s="425">
        <f ca="1">N287+N290</f>
        <v>68748.75</v>
      </c>
      <c r="O284" s="425">
        <f ca="1">IF(L284&gt;0,N284*100/L284,0)</f>
        <v>31.303501502595392</v>
      </c>
      <c r="P284" s="425">
        <f ca="1">IF(M284&gt;0,N284*100/M284,0)</f>
        <v>37.674676676896098</v>
      </c>
    </row>
    <row r="285" spans="1:16" ht="18.75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219620</v>
      </c>
      <c r="M285" s="425">
        <f ca="1">M286+M287</f>
        <v>182480</v>
      </c>
      <c r="N285" s="425">
        <f ca="1">N286+N287</f>
        <v>68748.75</v>
      </c>
      <c r="O285" s="425">
        <f ca="1">IF(L285&gt;0,N285*100/L285,0)</f>
        <v>31.303501502595392</v>
      </c>
      <c r="P285" s="425">
        <f ca="1">IF(M285&gt;0,N285*100/M285,0)</f>
        <v>37.674676676896098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IFERROR(__xludf.DUMMYFUNCTION("IMPORTRANGE(""https://docs.google.com/spreadsheets/d/1-uDff_7J0KD5mKrp0Vvzr7lt3OU09vwQwhkpOPPYv2Y/edit?usp=sharing"",""งบพรบ!DO36"")"),219620)</f>
        <v>219620</v>
      </c>
      <c r="M287" s="425">
        <f ca="1">IFERROR(__xludf.DUMMYFUNCTION("IMPORTRANGE(""https://docs.google.com/spreadsheets/d/1-uDff_7J0KD5mKrp0Vvzr7lt3OU09vwQwhkpOPPYv2Y/edit?usp=sharing"",""งบพรบ!DT36"")"),182480)</f>
        <v>182480</v>
      </c>
      <c r="N287" s="425">
        <f ca="1">IFERROR(__xludf.DUMMYFUNCTION("IMPORTRANGE(""https://docs.google.com/spreadsheets/d/1-uDff_7J0KD5mKrp0Vvzr7lt3OU09vwQwhkpOPPYv2Y/edit?usp=sharing"",""งบพรบ!DV36"")"),68748.75)</f>
        <v>68748.75</v>
      </c>
      <c r="O287" s="425">
        <f ca="1">IF(L287&gt;0,N287*100/L287,0)</f>
        <v>31.303501502595392</v>
      </c>
      <c r="P287" s="425">
        <f ca="1">IF(M287&gt;0,N287*100/M287,0)</f>
        <v>37.674676676896098</v>
      </c>
    </row>
    <row r="288" spans="1:16" ht="18.75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IFERROR(__xludf.DUMMYFUNCTION("IMPORTRANGE(""https://docs.google.com/spreadsheets/d/1-uDff_7J0KD5mKrp0Vvzr7lt3OU09vwQwhkpOPPYv2Y/edit?usp=sharing"",""งบพรบ!DR36"")"),0)</f>
        <v>0</v>
      </c>
      <c r="M290" s="425">
        <f ca="1">IFERROR(__xludf.DUMMYFUNCTION("IMPORTRANGE(""https://docs.google.com/spreadsheets/d/1-uDff_7J0KD5mKrp0Vvzr7lt3OU09vwQwhkpOPPYv2Y/edit?usp=sharing"",""งบพรบ!DU36"")"),0)</f>
        <v>0</v>
      </c>
      <c r="N290" s="425">
        <f ca="1">IFERROR(__xludf.DUMMYFUNCTION("IMPORTRANGE(""https://docs.google.com/spreadsheets/d/1-uDff_7J0KD5mKrp0Vvzr7lt3OU09vwQwhkpOPPYv2Y/edit?usp=sharing"",""งบพรบ!DW36"")"),0)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IFERROR(__xludf.DUMMYFUNCTION("IMPORTRANGE(""https://docs.google.com/spreadsheets/d/1eHaY18a8A9IcSdp1K8H6x8fbOy06t2VsZHhMHf-1x7Y/edit?usp=sharing"",""แผน!EE36"")"),600)</f>
        <v>600</v>
      </c>
      <c r="J292" s="595">
        <v>0</v>
      </c>
      <c r="K292" s="621">
        <f ca="1">IF(I292&gt;0,J292*100/I292,0)</f>
        <v>0</v>
      </c>
      <c r="L292" s="525"/>
      <c r="M292" s="525"/>
      <c r="N292" s="525"/>
      <c r="O292" s="525"/>
      <c r="P292" s="525"/>
    </row>
    <row r="293" spans="1:16" ht="19.5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IFERROR(__xludf.DUMMYFUNCTION("IMPORTRANGE(""https://docs.google.com/spreadsheets/d/1eHaY18a8A9IcSdp1K8H6x8fbOy06t2VsZHhMHf-1x7Y/edit?usp=sharing"",""แผน!ED36"")"),60)</f>
        <v>60</v>
      </c>
      <c r="J293" s="625">
        <f>J296</f>
        <v>0</v>
      </c>
      <c r="K293" s="624">
        <f ca="1">IF(I293&gt;0,J293*100/I293,0)</f>
        <v>0</v>
      </c>
      <c r="L293" s="525"/>
      <c r="M293" s="525"/>
      <c r="N293" s="525"/>
      <c r="O293" s="525"/>
      <c r="P293" s="525"/>
    </row>
    <row r="294" spans="1:16" ht="19.5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IFERROR(__xludf.DUMMYFUNCTION("IMPORTRANGE(""https://docs.google.com/spreadsheets/d/1eHaY18a8A9IcSdp1K8H6x8fbOy06t2VsZHhMHf-1x7Y/edit?usp=sharing"",""แผน!ED36"")"),60)</f>
        <v>60</v>
      </c>
      <c r="J295" s="595">
        <v>0</v>
      </c>
      <c r="K295" s="621">
        <f ca="1">IF(I295&gt;0,J295*100/I295,0)</f>
        <v>0</v>
      </c>
      <c r="L295" s="525"/>
      <c r="M295" s="525"/>
      <c r="N295" s="525"/>
      <c r="O295" s="525"/>
      <c r="P295" s="525"/>
    </row>
    <row r="296" spans="1:16" ht="19.5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IFERROR(__xludf.DUMMYFUNCTION("IMPORTRANGE(""https://docs.google.com/spreadsheets/d/1eHaY18a8A9IcSdp1K8H6x8fbOy06t2VsZHhMHf-1x7Y/edit?usp=sharing"",""แผน!ED36"")"),60)</f>
        <v>60</v>
      </c>
      <c r="J296" s="595">
        <v>0</v>
      </c>
      <c r="K296" s="621">
        <f ca="1">IF(I296&gt;0,J296*100/I296,0)</f>
        <v>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25</v>
      </c>
      <c r="J302" s="598">
        <f>J314</f>
        <v>0</v>
      </c>
      <c r="K302" s="597">
        <f ca="1">IF(I302&gt;0,J302*100/I302,0)</f>
        <v>0</v>
      </c>
      <c r="L302" s="580"/>
      <c r="M302" s="580"/>
      <c r="N302" s="580"/>
      <c r="O302" s="580"/>
      <c r="P302" s="580"/>
    </row>
    <row r="303" spans="1:16" ht="19.5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305400</v>
      </c>
      <c r="M303" s="577">
        <f ca="1">M304+M305</f>
        <v>224500</v>
      </c>
      <c r="N303" s="577">
        <f ca="1">N304+N305</f>
        <v>126843.99</v>
      </c>
      <c r="O303" s="577">
        <f ca="1">IF(L303&gt;0,N303*100/L303,0)</f>
        <v>41.533722986247547</v>
      </c>
      <c r="P303" s="577">
        <f ca="1">IF(M303&gt;0,N303*100/M303,0)</f>
        <v>56.500663697104677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305400</v>
      </c>
      <c r="M305" s="425">
        <f ca="1">M308+M311</f>
        <v>224500</v>
      </c>
      <c r="N305" s="425">
        <f ca="1">N308+N311</f>
        <v>126843.99</v>
      </c>
      <c r="O305" s="425">
        <f ca="1">IF(L305&gt;0,N305*100/L305,0)</f>
        <v>41.533722986247547</v>
      </c>
      <c r="P305" s="425">
        <f ca="1">IF(M305&gt;0,N305*100/M305,0)</f>
        <v>56.500663697104677</v>
      </c>
    </row>
    <row r="306" spans="1:16" ht="18.75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305400</v>
      </c>
      <c r="M306" s="425">
        <f ca="1">M307+M308</f>
        <v>224500</v>
      </c>
      <c r="N306" s="425">
        <f ca="1">N307+N308</f>
        <v>126843.99</v>
      </c>
      <c r="O306" s="425">
        <f ca="1">IF(L306&gt;0,N306*100/L306,0)</f>
        <v>41.533722986247547</v>
      </c>
      <c r="P306" s="425">
        <f ca="1">IF(M306&gt;0,N306*100/M306,0)</f>
        <v>56.500663697104677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IFERROR(__xludf.DUMMYFUNCTION("IMPORTRANGE(""https://docs.google.com/spreadsheets/d/1-uDff_7J0KD5mKrp0Vvzr7lt3OU09vwQwhkpOPPYv2Y/edit?usp=sharing"",""งบพรบ!DY36"")"),305400)</f>
        <v>305400</v>
      </c>
      <c r="M308" s="425">
        <f ca="1">IFERROR(__xludf.DUMMYFUNCTION("IMPORTRANGE(""https://docs.google.com/spreadsheets/d/1-uDff_7J0KD5mKrp0Vvzr7lt3OU09vwQwhkpOPPYv2Y/edit?usp=sharing"",""งบพรบ!ED36"")"),224500)</f>
        <v>224500</v>
      </c>
      <c r="N308" s="425">
        <f ca="1">IFERROR(__xludf.DUMMYFUNCTION("IMPORTRANGE(""https://docs.google.com/spreadsheets/d/1-uDff_7J0KD5mKrp0Vvzr7lt3OU09vwQwhkpOPPYv2Y/edit?usp=sharing"",""งบพรบ!EF36"")"),126843.99)</f>
        <v>126843.99</v>
      </c>
      <c r="O308" s="425">
        <f ca="1">IF(L308&gt;0,N308*100/L308,0)</f>
        <v>41.533722986247547</v>
      </c>
      <c r="P308" s="425">
        <f ca="1">IF(M308&gt;0,N308*100/M308,0)</f>
        <v>56.500663697104677</v>
      </c>
    </row>
    <row r="309" spans="1:16" ht="18.75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IFERROR(__xludf.DUMMYFUNCTION("IMPORTRANGE(""https://docs.google.com/spreadsheets/d/1-uDff_7J0KD5mKrp0Vvzr7lt3OU09vwQwhkpOPPYv2Y/edit?usp=sharing"",""งบพรบ!EB36"")"),0)</f>
        <v>0</v>
      </c>
      <c r="M311" s="425">
        <f ca="1">IFERROR(__xludf.DUMMYFUNCTION("IMPORTRANGE(""https://docs.google.com/spreadsheets/d/1-uDff_7J0KD5mKrp0Vvzr7lt3OU09vwQwhkpOPPYv2Y/edit?usp=sharing"",""งบพรบ!EE36"")"),0)</f>
        <v>0</v>
      </c>
      <c r="N311" s="425">
        <f ca="1">IFERROR(__xludf.DUMMYFUNCTION("IMPORTRANGE(""https://docs.google.com/spreadsheets/d/1-uDff_7J0KD5mKrp0Vvzr7lt3OU09vwQwhkpOPPYv2Y/edit?usp=sharing"",""งบพรบ!EG36"")"),0)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0</v>
      </c>
      <c r="K313" s="428"/>
      <c r="L313" s="428"/>
      <c r="M313" s="428"/>
      <c r="N313" s="428"/>
      <c r="O313" s="428"/>
      <c r="P313" s="428"/>
    </row>
    <row r="314" spans="1:16" ht="18.75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IFERROR(__xludf.DUMMYFUNCTION("IMPORTRANGE(""https://docs.google.com/spreadsheets/d/1eHaY18a8A9IcSdp1K8H6x8fbOy06t2VsZHhMHf-1x7Y/edit?usp=sharing"",""แผน!EF36"")"),25)</f>
        <v>25</v>
      </c>
      <c r="J314" s="595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IFERROR(__xludf.DUMMYFUNCTION("IMPORTRANGE(""https://docs.google.com/spreadsheets/d/1eHaY18a8A9IcSdp1K8H6x8fbOy06t2VsZHhMHf-1x7Y/edit?usp=sharing"",""แผน!EG36"")"),5)</f>
        <v>5</v>
      </c>
      <c r="J315" s="595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IFERROR(__xludf.DUMMYFUNCTION("IMPORTRANGE(""https://docs.google.com/spreadsheets/d/1eHaY18a8A9IcSdp1K8H6x8fbOy06t2VsZHhMHf-1x7Y/edit?usp=sharing"",""แผน!EH36"")"),25)</f>
        <v>25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424">
        <f ca="1">IFERROR(__xludf.DUMMYFUNCTION("IMPORTRANGE(""https://docs.google.com/spreadsheets/d/1eHaY18a8A9IcSdp1K8H6x8fbOy06t2VsZHhMHf-1x7Y/edit?usp=sharing"",""แผน!EI36"")"),5)</f>
        <v>5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1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30000</v>
      </c>
      <c r="M320" s="577">
        <f ca="1">M321+M322</f>
        <v>30000</v>
      </c>
      <c r="N320" s="577">
        <f ca="1">N321+N322</f>
        <v>2020</v>
      </c>
      <c r="O320" s="577">
        <f ca="1">IF(L320&gt;0,N320*100/L320,0)</f>
        <v>6.7333333333333334</v>
      </c>
      <c r="P320" s="577">
        <f ca="1">IF(M320&gt;0,N320*100/M320,0)</f>
        <v>6.7333333333333334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30000</v>
      </c>
      <c r="M322" s="425">
        <f ca="1">M325+M328</f>
        <v>30000</v>
      </c>
      <c r="N322" s="425">
        <f ca="1">N325+N328</f>
        <v>2020</v>
      </c>
      <c r="O322" s="425">
        <f ca="1">IF(L322&gt;0,N322*100/L322,0)</f>
        <v>6.7333333333333334</v>
      </c>
      <c r="P322" s="425">
        <f ca="1">IF(M322&gt;0,N322*100/M322,0)</f>
        <v>6.7333333333333334</v>
      </c>
    </row>
    <row r="323" spans="1:16" ht="18.75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30000</v>
      </c>
      <c r="M323" s="425">
        <f ca="1">M324+M325</f>
        <v>30000</v>
      </c>
      <c r="N323" s="425">
        <f ca="1">N324+N325</f>
        <v>2020</v>
      </c>
      <c r="O323" s="425">
        <f ca="1">IF(L323&gt;0,N323*100/L323,0)</f>
        <v>6.7333333333333334</v>
      </c>
      <c r="P323" s="425">
        <f ca="1">IF(M323&gt;0,N323*100/M323,0)</f>
        <v>6.7333333333333334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IFERROR(__xludf.DUMMYFUNCTION("IMPORTRANGE(""https://docs.google.com/spreadsheets/d/1-uDff_7J0KD5mKrp0Vvzr7lt3OU09vwQwhkpOPPYv2Y/edit?usp=sharing"",""งบพรบ!EI36"")"),30000)</f>
        <v>30000</v>
      </c>
      <c r="M325" s="425">
        <f ca="1">IFERROR(__xludf.DUMMYFUNCTION("IMPORTRANGE(""https://docs.google.com/spreadsheets/d/1-uDff_7J0KD5mKrp0Vvzr7lt3OU09vwQwhkpOPPYv2Y/edit?usp=sharing"",""งบพรบ!EN36"")"),30000)</f>
        <v>30000</v>
      </c>
      <c r="N325" s="425">
        <f ca="1">IFERROR(__xludf.DUMMYFUNCTION("IMPORTRANGE(""https://docs.google.com/spreadsheets/d/1-uDff_7J0KD5mKrp0Vvzr7lt3OU09vwQwhkpOPPYv2Y/edit?usp=sharing"",""งบพรบ!EP36"")"),2020)</f>
        <v>2020</v>
      </c>
      <c r="O325" s="425">
        <f ca="1">IF(L325&gt;0,N325*100/L325,0)</f>
        <v>6.7333333333333334</v>
      </c>
      <c r="P325" s="425">
        <f ca="1">IF(M325&gt;0,N325*100/M325,0)</f>
        <v>6.7333333333333334</v>
      </c>
    </row>
    <row r="326" spans="1:16" ht="18.75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IFERROR(__xludf.DUMMYFUNCTION("IMPORTRANGE(""https://docs.google.com/spreadsheets/d/1-uDff_7J0KD5mKrp0Vvzr7lt3OU09vwQwhkpOPPYv2Y/edit?usp=sharing"",""งบพรบ!EL36"")"),0)</f>
        <v>0</v>
      </c>
      <c r="M328" s="425">
        <f ca="1">IFERROR(__xludf.DUMMYFUNCTION("IMPORTRANGE(""https://docs.google.com/spreadsheets/d/1-uDff_7J0KD5mKrp0Vvzr7lt3OU09vwQwhkpOPPYv2Y/edit?usp=sharing"",""งบพรบ!EO36"")"),0)</f>
        <v>0</v>
      </c>
      <c r="N328" s="425">
        <f ca="1">IFERROR(__xludf.DUMMYFUNCTION("IMPORTRANGE(""https://docs.google.com/spreadsheets/d/1-uDff_7J0KD5mKrp0Vvzr7lt3OU09vwQwhkpOPPYv2Y/edit?usp=sharing"",""งบพรบ!EQ36"")"),0)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IFERROR(__xludf.DUMMYFUNCTION("IMPORTRANGE(""https://docs.google.com/spreadsheets/d/1eHaY18a8A9IcSdp1K8H6x8fbOy06t2VsZHhMHf-1x7Y/edit?usp=sharing"",""แผน!EJ36"")"),1)</f>
        <v>1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5740</v>
      </c>
      <c r="J332" s="402">
        <f ca="1">J344+J347+J348+J349+J353</f>
        <v>2677</v>
      </c>
      <c r="K332" s="403">
        <f ca="1">IF(I332&gt;0,J332*100/I332,0)</f>
        <v>46.637630662020904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126000</v>
      </c>
      <c r="M333" s="577">
        <f ca="1">M334+M335</f>
        <v>101050</v>
      </c>
      <c r="N333" s="577">
        <f ca="1">N334+N335</f>
        <v>31000</v>
      </c>
      <c r="O333" s="577">
        <f ca="1">IF(L333&gt;0,N333*100/L333,0)</f>
        <v>24.603174603174605</v>
      </c>
      <c r="P333" s="577">
        <f ca="1">IF(M333&gt;0,N333*100/M333,0)</f>
        <v>30.677882236516577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126000</v>
      </c>
      <c r="M335" s="425">
        <f ca="1">M338+M341</f>
        <v>101050</v>
      </c>
      <c r="N335" s="425">
        <f ca="1">N338+N341</f>
        <v>31000</v>
      </c>
      <c r="O335" s="425">
        <f ca="1">IF(L335&gt;0,N335*100/L335,0)</f>
        <v>24.603174603174605</v>
      </c>
      <c r="P335" s="425">
        <f ca="1">IF(M335&gt;0,N335*100/M335,0)</f>
        <v>30.677882236516577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126000</v>
      </c>
      <c r="M336" s="425">
        <f ca="1">M337+M338</f>
        <v>101050</v>
      </c>
      <c r="N336" s="425">
        <f ca="1">N337+N338</f>
        <v>31000</v>
      </c>
      <c r="O336" s="425">
        <f ca="1">IF(L336&gt;0,N336*100/L336,0)</f>
        <v>24.603174603174605</v>
      </c>
      <c r="P336" s="425">
        <f ca="1">IF(M336&gt;0,N336*100/M336,0)</f>
        <v>30.677882236516577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IFERROR(__xludf.DUMMYFUNCTION("IMPORTRANGE(""https://docs.google.com/spreadsheets/d/1-uDff_7J0KD5mKrp0Vvzr7lt3OU09vwQwhkpOPPYv2Y/edit?usp=sharing"",""งบพรบ!ES36"")"),126000)</f>
        <v>126000</v>
      </c>
      <c r="M338" s="425">
        <f ca="1">IFERROR(__xludf.DUMMYFUNCTION("IMPORTRANGE(""https://docs.google.com/spreadsheets/d/1-uDff_7J0KD5mKrp0Vvzr7lt3OU09vwQwhkpOPPYv2Y/edit?usp=sharing"",""งบพรบ!EX36"")"),101050)</f>
        <v>101050</v>
      </c>
      <c r="N338" s="425">
        <f ca="1">IFERROR(__xludf.DUMMYFUNCTION("IMPORTRANGE(""https://docs.google.com/spreadsheets/d/1-uDff_7J0KD5mKrp0Vvzr7lt3OU09vwQwhkpOPPYv2Y/edit?usp=sharing"",""งบพรบ!EZ36"")"),31000)</f>
        <v>31000</v>
      </c>
      <c r="O338" s="425">
        <f ca="1">IF(L338&gt;0,N338*100/L338,0)</f>
        <v>24.603174603174605</v>
      </c>
      <c r="P338" s="425">
        <f ca="1">IF(M338&gt;0,N338*100/M338,0)</f>
        <v>30.677882236516577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IFERROR(__xludf.DUMMYFUNCTION("IMPORTRANGE(""https://docs.google.com/spreadsheets/d/1-uDff_7J0KD5mKrp0Vvzr7lt3OU09vwQwhkpOPPYv2Y/edit?usp=sharing"",""งบพรบ!EV36"")"),0)</f>
        <v>0</v>
      </c>
      <c r="M341" s="425">
        <f ca="1">IFERROR(__xludf.DUMMYFUNCTION("IMPORTRANGE(""https://docs.google.com/spreadsheets/d/1-uDff_7J0KD5mKrp0Vvzr7lt3OU09vwQwhkpOPPYv2Y/edit?usp=sharing"",""งบพรบ!EY36"")"),0)</f>
        <v>0</v>
      </c>
      <c r="N341" s="425">
        <f ca="1">IFERROR(__xludf.DUMMYFUNCTION("IMPORTRANGE(""https://docs.google.com/spreadsheets/d/1-uDff_7J0KD5mKrp0Vvzr7lt3OU09vwQwhkpOPPYv2Y/edit?usp=sharing"",""งบพรบ!FA36"")"),0)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1453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IFERROR(__xludf.DUMMYFUNCTION("IMPORTRANGE(""https://docs.google.com/spreadsheets/d/1eHaY18a8A9IcSdp1K8H6x8fbOy06t2VsZHhMHf-1x7Y/edit?usp=sharing"",""แผน!EK36"")"),5740)</f>
        <v>5740</v>
      </c>
      <c r="J344" s="424">
        <f ca="1">IFERROR(__xludf.DUMMYFUNCTION("IMPORTRANGE(""https://docs.google.com/spreadsheets/d/1awYsYK3VOup2i3Pq_Yjnu8DRu_mYwSBnCR2QPthd0rU/edit?usp=sharing"",""ศูนย์ยกเว้นโฉนด!D36"")"),1450)</f>
        <v>1450</v>
      </c>
      <c r="K344" s="425">
        <f ca="1">IF(I344&gt;0,J344*100/I344,0)</f>
        <v>25.261324041811847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IFERROR(__xludf.DUMMYFUNCTION("IMPORTRANGE(""https://docs.google.com/spreadsheets/d/1eHaY18a8A9IcSdp1K8H6x8fbOy06t2VsZHhMHf-1x7Y/edit?usp=sharing"",""แผน!EL36"")"),10)</f>
        <v>10</v>
      </c>
      <c r="J346" s="424">
        <f ca="1">IFERROR(__xludf.DUMMYFUNCTION("IMPORTRANGE(""https://docs.google.com/spreadsheets/d/1awYsYK3VOup2i3Pq_Yjnu8DRu_mYwSBnCR2QPthd0rU/edit?usp=sharing"",""ศูนย์รวม!E36"")"),0)</f>
        <v>0</v>
      </c>
      <c r="K346" s="425">
        <f ca="1">IF(I346&gt;0,J346*100/I346,0)</f>
        <v>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IFERROR(__xludf.DUMMYFUNCTION("IMPORTRANGE(""https://docs.google.com/spreadsheets/d/1awYsYK3VOup2i3Pq_Yjnu8DRu_mYwSBnCR2QPthd0rU/edit?usp=sharing"",""ศูนย์ยกเว้นโฉนด!F36"")"),0)</f>
        <v>0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IFERROR(__xludf.DUMMYFUNCTION("IMPORTRANGE(""https://docs.google.com/spreadsheets/d/1awYsYK3VOup2i3Pq_Yjnu8DRu_mYwSBnCR2QPthd0rU/edit?usp=sharing"",""ศูนย์ยกเว้นโฉนด!G36"")"),3)</f>
        <v>3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IFERROR(__xludf.DUMMYFUNCTION("IMPORTRANGE(""https://docs.google.com/spreadsheets/d/1awYsYK3VOup2i3Pq_Yjnu8DRu_mYwSBnCR2QPthd0rU/edit?usp=sharing"",""ศูนย์ยกเว้นโฉนด!H36"")"),0)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4011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IFERROR(__xludf.DUMMYFUNCTION("IMPORTRANGE(""https://docs.google.com/spreadsheets/d/1awYsYK3VOup2i3Pq_Yjnu8DRu_mYwSBnCR2QPthd0rU/edit?usp=sharing"",""โฉนดM3!G36"")"),2787)</f>
        <v>2787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IFERROR(__xludf.DUMMYFUNCTION("IMPORTRANGE(""https://docs.google.com/spreadsheets/d/1awYsYK3VOup2i3Pq_Yjnu8DRu_mYwSBnCR2QPthd0rU/edit?usp=sharing"",""โฉนดM3!H36"")"),1224)</f>
        <v>1224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1332925</v>
      </c>
      <c r="M356" s="577">
        <f ca="1">M357+M358</f>
        <v>1197925</v>
      </c>
      <c r="N356" s="577">
        <f ca="1">N357+N358</f>
        <v>703852.77</v>
      </c>
      <c r="O356" s="577">
        <f ca="1">IF(L356&gt;0,N356*100/L356,0)</f>
        <v>52.805129320854512</v>
      </c>
      <c r="P356" s="577">
        <f ca="1">IF(M356&gt;0,N356*100/M356,0)</f>
        <v>58.755996410459751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1332925</v>
      </c>
      <c r="M358" s="425">
        <f ca="1">M361+M364</f>
        <v>1197925</v>
      </c>
      <c r="N358" s="425">
        <f ca="1">N361+N364</f>
        <v>703852.77</v>
      </c>
      <c r="O358" s="425">
        <f ca="1">IF(L358&gt;0,N358*100/L358,0)</f>
        <v>52.805129320854512</v>
      </c>
      <c r="P358" s="425">
        <f ca="1">IF(M358&gt;0,N358*100/M358,0)</f>
        <v>58.755996410459751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1332925</v>
      </c>
      <c r="M359" s="425">
        <f ca="1">M360+M361</f>
        <v>1197925</v>
      </c>
      <c r="N359" s="425">
        <f ca="1">N360+N361</f>
        <v>703852.77</v>
      </c>
      <c r="O359" s="425">
        <f ca="1">IF(L359&gt;0,N359*100/L359,0)</f>
        <v>52.805129320854512</v>
      </c>
      <c r="P359" s="425">
        <f ca="1">IF(M359&gt;0,N359*100/M359,0)</f>
        <v>58.755996410459751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IFERROR(__xludf.DUMMYFUNCTION("IMPORTRANGE(""https://docs.google.com/spreadsheets/d/1-uDff_7J0KD5mKrp0Vvzr7lt3OU09vwQwhkpOPPYv2Y/edit?usp=sharing"",""งบพรบ!FC36"")"),1332925)</f>
        <v>1332925</v>
      </c>
      <c r="M361" s="425">
        <f ca="1">IFERROR(__xludf.DUMMYFUNCTION("IMPORTRANGE(""https://docs.google.com/spreadsheets/d/1-uDff_7J0KD5mKrp0Vvzr7lt3OU09vwQwhkpOPPYv2Y/edit?usp=sharing"",""งบพรบ!FH36"")"),1197925)</f>
        <v>1197925</v>
      </c>
      <c r="N361" s="425">
        <f ca="1">IFERROR(__xludf.DUMMYFUNCTION("IMPORTRANGE(""https://docs.google.com/spreadsheets/d/1-uDff_7J0KD5mKrp0Vvzr7lt3OU09vwQwhkpOPPYv2Y/edit?usp=sharing"",""งบพรบ!FJ36"")"),703852.77)</f>
        <v>703852.77</v>
      </c>
      <c r="O361" s="425">
        <f ca="1">IF(L361&gt;0,N361*100/L361,0)</f>
        <v>52.805129320854512</v>
      </c>
      <c r="P361" s="425">
        <f ca="1">IF(M361&gt;0,N361*100/M361,0)</f>
        <v>58.755996410459751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IFERROR(__xludf.DUMMYFUNCTION("IMPORTRANGE(""https://docs.google.com/spreadsheets/d/1-uDff_7J0KD5mKrp0Vvzr7lt3OU09vwQwhkpOPPYv2Y/edit?usp=sharing"",""งบพรบ!FF36"")"),0)</f>
        <v>0</v>
      </c>
      <c r="M364" s="425">
        <f ca="1">IFERROR(__xludf.DUMMYFUNCTION("IMPORTRANGE(""https://docs.google.com/spreadsheets/d/1-uDff_7J0KD5mKrp0Vvzr7lt3OU09vwQwhkpOPPYv2Y/edit?usp=sharing"",""งบพรบ!FI36"")"),0)</f>
        <v>0</v>
      </c>
      <c r="N364" s="425">
        <f ca="1">IFERROR(__xludf.DUMMYFUNCTION("IMPORTRANGE(""https://docs.google.com/spreadsheets/d/1-uDff_7J0KD5mKrp0Vvzr7lt3OU09vwQwhkpOPPYv2Y/edit?usp=sharing"",""งบพรบ!FK36"")"),0)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818</v>
      </c>
      <c r="J365" s="438">
        <f ca="1">J371</f>
        <v>287</v>
      </c>
      <c r="K365" s="439">
        <f ca="1">IF(I365&gt;0,J365*100/I365,0)</f>
        <v>35.085574572127136</v>
      </c>
      <c r="L365" s="571"/>
      <c r="M365" s="571"/>
      <c r="N365" s="571"/>
      <c r="O365" s="571"/>
      <c r="P365" s="571"/>
    </row>
    <row r="366" spans="1:16" ht="19.5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IFERROR(__xludf.DUMMYFUNCTION("IMPORTRANGE(""https://docs.google.com/spreadsheets/d/1tdoBKaGub7dwA3U6UFTqxio9LNnvDCQjHKmttSEBsFQ/edit?usp=sharing"",""จัดที่ดิน!AB36"")"),331)</f>
        <v>331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IFERROR(__xludf.DUMMYFUNCTION("IMPORTRANGE(""https://docs.google.com/spreadsheets/d/1eHaY18a8A9IcSdp1K8H6x8fbOy06t2VsZHhMHf-1x7Y/edit?usp=sharing"",""แผน!EW36"")"),8205)</f>
        <v>8205</v>
      </c>
      <c r="J368" s="565">
        <f ca="1">IFERROR(__xludf.DUMMYFUNCTION("IMPORTRANGE(""https://docs.google.com/spreadsheets/d/1tdoBKaGub7dwA3U6UFTqxio9LNnvDCQjHKmttSEBsFQ/edit?usp=sharing"",""จัดที่ดิน!AC36"")"),3527.77)</f>
        <v>3527.77</v>
      </c>
      <c r="K368" s="425">
        <f ca="1">IF(I368&gt;0,J368*100/I368,0)</f>
        <v>42.995368677635589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IFERROR(__xludf.DUMMYFUNCTION("IMPORTRANGE(""https://docs.google.com/spreadsheets/d/1eHaY18a8A9IcSdp1K8H6x8fbOy06t2VsZHhMHf-1x7Y/edit?usp=sharing"",""แผน!EX36"")"),1241)</f>
        <v>1241</v>
      </c>
      <c r="J369" s="424">
        <f ca="1">IFERROR(__xludf.DUMMYFUNCTION("IMPORTRANGE(""https://docs.google.com/spreadsheets/d/1tdoBKaGub7dwA3U6UFTqxio9LNnvDCQjHKmttSEBsFQ/edit?usp=sharing"",""จัดที่ดิน!AD36"")"),530)</f>
        <v>530</v>
      </c>
      <c r="K369" s="425">
        <f ca="1">IF(I369&gt;0,J369*100/I369,0)</f>
        <v>42.707493956486701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IFERROR(__xludf.DUMMYFUNCTION("IMPORTRANGE(""https://docs.google.com/spreadsheets/d/1tdoBKaGub7dwA3U6UFTqxio9LNnvDCQjHKmttSEBsFQ/edit?usp=sharing"",""จัดที่ดิน!AE36"")"),7133.06)</f>
        <v>7133.06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IFERROR(__xludf.DUMMYFUNCTION("IMPORTRANGE(""https://docs.google.com/spreadsheets/d/1eHaY18a8A9IcSdp1K8H6x8fbOy06t2VsZHhMHf-1x7Y/edit?usp=sharing"",""แผน!EY36"")"),818)</f>
        <v>818</v>
      </c>
      <c r="J371" s="424">
        <f ca="1">IFERROR(__xludf.DUMMYFUNCTION("IMPORTRANGE(""https://docs.google.com/spreadsheets/d/1tdoBKaGub7dwA3U6UFTqxio9LNnvDCQjHKmttSEBsFQ/edit?usp=sharing"",""จัดที่ดิน!AF36"")"),287)</f>
        <v>287</v>
      </c>
      <c r="K371" s="425">
        <f ca="1">IF(I371&gt;0,J371*100/I371,0)</f>
        <v>35.085574572127136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IFERROR(__xludf.DUMMYFUNCTION("IMPORTRANGE(""https://docs.google.com/spreadsheets/d/1tdoBKaGub7dwA3U6UFTqxio9LNnvDCQjHKmttSEBsFQ/edit?usp=sharing"",""จัดที่ดิน!AG36"")"),4208.88)</f>
        <v>4208.88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IFERROR(__xludf.DUMMYFUNCTION("IMPORTRANGE(""https://docs.google.com/spreadsheets/d/1-uDff_7J0KD5mKrp0Vvzr7lt3OU09vwQwhkpOPPYv2Y/edit?usp=sharing"",""งบพรบ!FM36"")"),0)</f>
        <v>0</v>
      </c>
      <c r="M382" s="521">
        <f ca="1">IFERROR(__xludf.DUMMYFUNCTION("IMPORTRANGE(""https://docs.google.com/spreadsheets/d/1-uDff_7J0KD5mKrp0Vvzr7lt3OU09vwQwhkpOPPYv2Y/edit?usp=sharing"",""งบพรบ!FR36"")"),0)</f>
        <v>0</v>
      </c>
      <c r="N382" s="521">
        <f ca="1">IFERROR(__xludf.DUMMYFUNCTION("IMPORTRANGE(""https://docs.google.com/spreadsheets/d/1-uDff_7J0KD5mKrp0Vvzr7lt3OU09vwQwhkpOPPYv2Y/edit?usp=sharing"",""งบพรบ!FT36"")"),0)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IFERROR(__xludf.DUMMYFUNCTION("IMPORTRANGE(""https://docs.google.com/spreadsheets/d/1-uDff_7J0KD5mKrp0Vvzr7lt3OU09vwQwhkpOPPYv2Y/edit?usp=sharing"",""งบพรบ!FP36"")"),0)</f>
        <v>0</v>
      </c>
      <c r="M385" s="521">
        <f ca="1">IFERROR(__xludf.DUMMYFUNCTION("IMPORTRANGE(""https://docs.google.com/spreadsheets/d/1-uDff_7J0KD5mKrp0Vvzr7lt3OU09vwQwhkpOPPYv2Y/edit?usp=sharing"",""งบพรบ!FS36"")"),0)</f>
        <v>0</v>
      </c>
      <c r="N385" s="521">
        <f ca="1">IFERROR(__xludf.DUMMYFUNCTION("IMPORTRANGE(""https://docs.google.com/spreadsheets/d/1-uDff_7J0KD5mKrp0Vvzr7lt3OU09vwQwhkpOPPYv2Y/edit?usp=sharing"",""งบพรบ!FU36"")"),0)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62CA8-6381-43EA-BB90-998DFF45083B}">
  <sheetPr>
    <outlinePr summaryBelow="0" summaryRight="0"/>
    <pageSetUpPr fitToPage="1"/>
  </sheetPr>
  <dimension ref="A1:P391"/>
  <sheetViews>
    <sheetView view="pageBreakPreview" zoomScale="60" zoomScaleNormal="70" workbookViewId="0">
      <pane xSplit="8" ySplit="17" topLeftCell="I18" activePane="bottomRight" state="frozen"/>
      <selection activeCell="H27" sqref="H27"/>
      <selection pane="topRight" activeCell="H27" sqref="H27"/>
      <selection pane="bottomLeft" activeCell="H27" sqref="H27"/>
      <selection pane="bottomRight" activeCell="H27" sqref="H27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2.5703125" bestFit="1" customWidth="1"/>
    <col min="11" max="11" width="10.8554687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869" t="s">
        <v>0</v>
      </c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  <c r="O1" s="869"/>
      <c r="P1" s="869"/>
    </row>
    <row r="2" spans="1:16" ht="19.5" x14ac:dyDescent="0.3">
      <c r="A2" s="869" t="s">
        <v>165</v>
      </c>
      <c r="B2" s="869"/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  <c r="P2" s="869"/>
    </row>
    <row r="3" spans="1:16" ht="19.5" x14ac:dyDescent="0.3">
      <c r="A3" s="869"/>
      <c r="B3" s="869"/>
      <c r="C3" s="869"/>
      <c r="D3" s="869"/>
      <c r="E3" s="869"/>
      <c r="F3" s="869"/>
      <c r="G3" s="869"/>
      <c r="H3" s="869"/>
      <c r="I3" s="869"/>
      <c r="J3" s="869"/>
      <c r="K3" s="869"/>
      <c r="L3" s="869"/>
      <c r="M3" s="869"/>
      <c r="N3" s="869"/>
      <c r="O3" s="869"/>
      <c r="P3" s="869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5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493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2132350</v>
      </c>
      <c r="M18" s="704">
        <f ca="1">M19+M20</f>
        <v>1876725</v>
      </c>
      <c r="N18" s="704">
        <f ca="1">N19+N20</f>
        <v>531712.34</v>
      </c>
      <c r="O18" s="704">
        <f ca="1">IF(L18&gt;0,N18*100/L18,0)</f>
        <v>24.935509648978826</v>
      </c>
      <c r="P18" s="704">
        <f ca="1">IF(M18&gt;0,N18*100/M18,0)</f>
        <v>28.331926094659579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2132350</v>
      </c>
      <c r="M20" s="817">
        <f ca="1">M23+M26</f>
        <v>1876725</v>
      </c>
      <c r="N20" s="817">
        <f ca="1">N23+N26</f>
        <v>531712.34</v>
      </c>
      <c r="O20" s="817">
        <f ca="1">IF(L20&gt;0,N20*100/L20,0)</f>
        <v>24.935509648978826</v>
      </c>
      <c r="P20" s="817">
        <f ca="1">IF(M20&gt;0,N20*100/M20,0)</f>
        <v>28.331926094659579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2132350</v>
      </c>
      <c r="M21" s="425">
        <f ca="1">M22+M23</f>
        <v>1876725</v>
      </c>
      <c r="N21" s="425">
        <f ca="1">N22+N23</f>
        <v>531712.34</v>
      </c>
      <c r="O21" s="425">
        <f ca="1">IF(L21&gt;0,N21*100/L21,0)</f>
        <v>24.935509648978826</v>
      </c>
      <c r="P21" s="425">
        <f ca="1">IF(M21&gt;0,N21*100/M21,0)</f>
        <v>28.331926094659579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2132350</v>
      </c>
      <c r="M23" s="425">
        <f ca="1">M49+M64+M77+M99+M130+M144+M162+M191+M178+M271+M287+M308+M325+M338+M361+M382</f>
        <v>1876725</v>
      </c>
      <c r="N23" s="425">
        <f ca="1">N49+N64+N77+N99+N130+N144+N162+N191+N178+N271+N287+N308+N325+N338+N361+N382</f>
        <v>531712.34</v>
      </c>
      <c r="O23" s="425">
        <f ca="1">IF(L23&gt;0,N23*100/L23,0)</f>
        <v>24.935509648978826</v>
      </c>
      <c r="P23" s="425">
        <f ca="1">IF(M23&gt;0,N23*100/M23,0)</f>
        <v>28.331926094659579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2.75" hidden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2132350</v>
      </c>
      <c r="M40" s="809">
        <f ca="1">M44+M59+M72+M94+M125+M139+M157+M173+M186+M266+M282+M303+M320+M333+M356</f>
        <v>1876725</v>
      </c>
      <c r="N40" s="809">
        <f ca="1">N44+N59+N72+N94+N125+N139+N157+N173+N186+N266+N282+N303+N320+N333+N356</f>
        <v>531712.34</v>
      </c>
      <c r="O40" s="809">
        <f ca="1">IF(L40&gt;0,N40*100/L40,0)</f>
        <v>24.935509648978826</v>
      </c>
      <c r="P40" s="809">
        <f ca="1">IF(M40&gt;0,N40*100/M40,0)</f>
        <v>28.331926094659579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468920</v>
      </c>
      <c r="M44" s="794">
        <f ca="1">M45+M46</f>
        <v>473240</v>
      </c>
      <c r="N44" s="794">
        <f ca="1">N45+N46</f>
        <v>165320</v>
      </c>
      <c r="O44" s="794">
        <f ca="1">IF(L44&gt;0,N44*100/L44,0)</f>
        <v>35.255480679007078</v>
      </c>
      <c r="P44" s="794">
        <f ca="1">IF(M44&gt;0,N44*100/M44,0)</f>
        <v>34.933648888513225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468920</v>
      </c>
      <c r="M46" s="783">
        <f ca="1">M49+M52</f>
        <v>473240</v>
      </c>
      <c r="N46" s="783">
        <f ca="1">N49+N52</f>
        <v>165320</v>
      </c>
      <c r="O46" s="783">
        <f ca="1">IF(L46&gt;0,N46*100/L46,0)</f>
        <v>35.255480679007078</v>
      </c>
      <c r="P46" s="783">
        <f ca="1">IF(M46&gt;0,N46*100/M46,0)</f>
        <v>34.933648888513225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468920</v>
      </c>
      <c r="M47" s="425">
        <f ca="1">M48+M49</f>
        <v>473240</v>
      </c>
      <c r="N47" s="425">
        <f ca="1">N48+N49</f>
        <v>165320</v>
      </c>
      <c r="O47" s="425">
        <f ca="1">IF(L47&gt;0,N47*100/L47,0)</f>
        <v>35.255480679007078</v>
      </c>
      <c r="P47" s="425">
        <f ca="1">IF(M47&gt;0,N47*100/M47,0)</f>
        <v>34.933648888513225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IFERROR(__xludf.DUMMYFUNCTION("IMPORTRANGE(""https://docs.google.com/spreadsheets/d/1-uDff_7J0KD5mKrp0Vvzr7lt3OU09vwQwhkpOPPYv2Y/edit?usp=sharing"",""งบพรบ!P37"")"),468920)</f>
        <v>468920</v>
      </c>
      <c r="M49" s="425">
        <f ca="1">IFERROR(__xludf.DUMMYFUNCTION("IMPORTRANGE(""https://docs.google.com/spreadsheets/d/1-uDff_7J0KD5mKrp0Vvzr7lt3OU09vwQwhkpOPPYv2Y/edit?usp=sharing"",""งบพรบ!V37"")"),473240)</f>
        <v>473240</v>
      </c>
      <c r="N49" s="425">
        <f ca="1">IFERROR(__xludf.DUMMYFUNCTION("IMPORTRANGE(""https://docs.google.com/spreadsheets/d/1-uDff_7J0KD5mKrp0Vvzr7lt3OU09vwQwhkpOPPYv2Y/edit?usp=sharing"",""งบพรบ!Y37"")"),165320)</f>
        <v>165320</v>
      </c>
      <c r="O49" s="425">
        <f ca="1">IF(L49&gt;0,N49*100/L49,0)</f>
        <v>35.255480679007078</v>
      </c>
      <c r="P49" s="425">
        <f ca="1">IF(M49&gt;0,N49*100/M49,0)</f>
        <v>34.933648888513225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IFERROR(__xludf.DUMMYFUNCTION("IMPORTRANGE(""https://docs.google.com/spreadsheets/d/1-uDff_7J0KD5mKrp0Vvzr7lt3OU09vwQwhkpOPPYv2Y/edit?usp=sharing"",""งบพรบ!S37"")"),0)</f>
        <v>0</v>
      </c>
      <c r="M52" s="425">
        <f ca="1">IFERROR(__xludf.DUMMYFUNCTION("IMPORTRANGE(""https://docs.google.com/spreadsheets/d/1-uDff_7J0KD5mKrp0Vvzr7lt3OU09vwQwhkpOPPYv2Y/edit?usp=sharing"",""งบพรบ!W37"")"),0)</f>
        <v>0</v>
      </c>
      <c r="N52" s="425">
        <f ca="1">IFERROR(__xludf.DUMMYFUNCTION("IMPORTRANGE(""https://docs.google.com/spreadsheets/d/1-uDff_7J0KD5mKrp0Vvzr7lt3OU09vwQwhkpOPPYv2Y/edit?usp=sharing"",""งบพรบ!Z37"")"),0)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416300</v>
      </c>
      <c r="M59" s="763">
        <f ca="1">M60+M61</f>
        <v>314250</v>
      </c>
      <c r="N59" s="763">
        <f ca="1">N60+N61</f>
        <v>117905.34</v>
      </c>
      <c r="O59" s="763">
        <f ca="1">IF(L59&gt;0,N59*100/L59,0)</f>
        <v>28.322205140523661</v>
      </c>
      <c r="P59" s="763">
        <f ca="1">IF(M59&gt;0,N59*100/M59,0)</f>
        <v>37.519599045346062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416300</v>
      </c>
      <c r="M61" s="752">
        <f ca="1">M64+M67</f>
        <v>314250</v>
      </c>
      <c r="N61" s="752">
        <f ca="1">N64+N67</f>
        <v>117905.34</v>
      </c>
      <c r="O61" s="752">
        <f ca="1">IF(L61&gt;0,N61*100/L61,0)</f>
        <v>28.322205140523661</v>
      </c>
      <c r="P61" s="752">
        <f ca="1">IF(M61&gt;0,N61*100/M61,0)</f>
        <v>37.519599045346062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416300</v>
      </c>
      <c r="M62" s="425">
        <f ca="1">M63+M64</f>
        <v>314250</v>
      </c>
      <c r="N62" s="425">
        <f ca="1">N63+N64</f>
        <v>117905.34</v>
      </c>
      <c r="O62" s="425">
        <f ca="1">IF(L62&gt;0,N62*100/L62,0)</f>
        <v>28.322205140523661</v>
      </c>
      <c r="P62" s="425">
        <f ca="1">IF(M62&gt;0,N62*100/M62,0)</f>
        <v>37.519599045346062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IFERROR(__xludf.DUMMYFUNCTION("IMPORTRANGE(""https://docs.google.com/spreadsheets/d/1-uDff_7J0KD5mKrp0Vvzr7lt3OU09vwQwhkpOPPYv2Y/edit?usp=sharing"",""งบพรบ!AC37"")"),416300)</f>
        <v>416300</v>
      </c>
      <c r="M64" s="425">
        <f ca="1">IFERROR(__xludf.DUMMYFUNCTION("IMPORTRANGE(""https://docs.google.com/spreadsheets/d/1-uDff_7J0KD5mKrp0Vvzr7lt3OU09vwQwhkpOPPYv2Y/edit?usp=sharing"",""งบพรบ!AH37"")"),314250)</f>
        <v>314250</v>
      </c>
      <c r="N64" s="425">
        <f ca="1">IFERROR(__xludf.DUMMYFUNCTION("IMPORTRANGE(""https://docs.google.com/spreadsheets/d/1-uDff_7J0KD5mKrp0Vvzr7lt3OU09vwQwhkpOPPYv2Y/edit?usp=sharing"",""งบพรบ!AJ37"")"),117905.34)</f>
        <v>117905.34</v>
      </c>
      <c r="O64" s="425">
        <f ca="1">IF(L64&gt;0,N64*100/L64,0)</f>
        <v>28.322205140523661</v>
      </c>
      <c r="P64" s="425">
        <f ca="1">IF(M64&gt;0,N64*100/M64,0)</f>
        <v>37.519599045346062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IFERROR(__xludf.DUMMYFUNCTION("IMPORTRANGE(""https://docs.google.com/spreadsheets/d/1-uDff_7J0KD5mKrp0Vvzr7lt3OU09vwQwhkpOPPYv2Y/edit?usp=sharing"",""งบพรบ!AF37"")"),0)</f>
        <v>0</v>
      </c>
      <c r="M67" s="747">
        <f ca="1">IFERROR(__xludf.DUMMYFUNCTION("IMPORTRANGE(""https://docs.google.com/spreadsheets/d/1-uDff_7J0KD5mKrp0Vvzr7lt3OU09vwQwhkpOPPYv2Y/edit?usp=sharing"",""งบพรบ!AI37"")"),0)</f>
        <v>0</v>
      </c>
      <c r="N67" s="747">
        <f ca="1">IFERROR(__xludf.DUMMYFUNCTION("IMPORTRANGE(""https://docs.google.com/spreadsheets/d/1-uDff_7J0KD5mKrp0Vvzr7lt3OU09vwQwhkpOPPYv2Y/edit?usp=sharing"",""งบพรบ!AK37"")"),0)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19.5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hidden="1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hidden="1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0</v>
      </c>
      <c r="J70" s="705">
        <f>J82</f>
        <v>0</v>
      </c>
      <c r="K70" s="704">
        <f ca="1">IF(I70&gt;0,J70*100/I70,0)</f>
        <v>0</v>
      </c>
      <c r="L70" s="703"/>
      <c r="M70" s="703"/>
      <c r="N70" s="703"/>
      <c r="O70" s="703"/>
      <c r="P70" s="703"/>
    </row>
    <row r="71" spans="1:16" ht="19.5" hidden="1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0</v>
      </c>
      <c r="J71" s="705">
        <f>J83</f>
        <v>0</v>
      </c>
      <c r="K71" s="704">
        <f ca="1">IF(I71&gt;0,J71*100/I71,0)</f>
        <v>0</v>
      </c>
      <c r="L71" s="703"/>
      <c r="M71" s="703"/>
      <c r="N71" s="703"/>
      <c r="O71" s="703"/>
      <c r="P71" s="703"/>
    </row>
    <row r="72" spans="1:16" ht="19.5" hidden="1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0</v>
      </c>
      <c r="M72" s="577">
        <f ca="1">M73+M74</f>
        <v>0</v>
      </c>
      <c r="N72" s="577">
        <f ca="1">N73+N74</f>
        <v>0</v>
      </c>
      <c r="O72" s="577">
        <f ca="1">IF(L72&gt;0,N72*100/L72,0)</f>
        <v>0</v>
      </c>
      <c r="P72" s="577">
        <f ca="1">IF(M72&gt;0,N72*100/M72,0)</f>
        <v>0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hidden="1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hidden="1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IFERROR(__xludf.DUMMYFUNCTION("IMPORTRANGE(""https://docs.google.com/spreadsheets/d/1-uDff_7J0KD5mKrp0Vvzr7lt3OU09vwQwhkpOPPYv2Y/edit?usp=sharing"",""งบพรบ!AM37"")"),0)</f>
        <v>0</v>
      </c>
      <c r="M77" s="425">
        <f ca="1">IFERROR(__xludf.DUMMYFUNCTION("IMPORTRANGE(""https://docs.google.com/spreadsheets/d/1-uDff_7J0KD5mKrp0Vvzr7lt3OU09vwQwhkpOPPYv2Y/edit?usp=sharing"",""งบพรบ!AR37"")"),0)</f>
        <v>0</v>
      </c>
      <c r="N77" s="425">
        <f ca="1">IFERROR(__xludf.DUMMYFUNCTION("IMPORTRANGE(""https://docs.google.com/spreadsheets/d/1-uDff_7J0KD5mKrp0Vvzr7lt3OU09vwQwhkpOPPYv2Y/edit?usp=sharing"",""งบพรบ!AT37"")"),0)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hidden="1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IFERROR(__xludf.DUMMYFUNCTION("IMPORTRANGE(""https://docs.google.com/spreadsheets/d/1-uDff_7J0KD5mKrp0Vvzr7lt3OU09vwQwhkpOPPYv2Y/edit?usp=sharing"",""งบพรบ!AP37"")"),0)</f>
        <v>0</v>
      </c>
      <c r="M80" s="425">
        <f ca="1">IFERROR(__xludf.DUMMYFUNCTION("IMPORTRANGE(""https://docs.google.com/spreadsheets/d/1-uDff_7J0KD5mKrp0Vvzr7lt3OU09vwQwhkpOPPYv2Y/edit?usp=sharing"",""งบพรบ!AS37"")"),0)</f>
        <v>0</v>
      </c>
      <c r="N80" s="425">
        <f ca="1">IFERROR(__xludf.DUMMYFUNCTION("IMPORTRANGE(""https://docs.google.com/spreadsheets/d/1-uDff_7J0KD5mKrp0Vvzr7lt3OU09vwQwhkpOPPYv2Y/edit?usp=sharing"",""งบพรบ!AU37"")"),0)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hidden="1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0</v>
      </c>
      <c r="J82" s="625">
        <f>J84+J86+J88</f>
        <v>0</v>
      </c>
      <c r="K82" s="624">
        <f ca="1">IF(I82&gt;0,J82*100/I82,0)</f>
        <v>0</v>
      </c>
      <c r="L82" s="525"/>
      <c r="M82" s="525"/>
      <c r="N82" s="525"/>
      <c r="O82" s="525"/>
      <c r="P82" s="525"/>
    </row>
    <row r="83" spans="1:16" ht="19.5" hidden="1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0</v>
      </c>
      <c r="J83" s="625">
        <f>J85+J87+J89</f>
        <v>0</v>
      </c>
      <c r="K83" s="624">
        <f ca="1">IF(I83&gt;0,J83*100/I83,0)</f>
        <v>0</v>
      </c>
      <c r="L83" s="525"/>
      <c r="M83" s="525"/>
      <c r="N83" s="525"/>
      <c r="O83" s="525"/>
      <c r="P83" s="525"/>
    </row>
    <row r="84" spans="1:16" ht="18.75" hidden="1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IFERROR(__xludf.DUMMYFUNCTION("IMPORTRANGE(""https://docs.google.com/spreadsheets/d/1eHaY18a8A9IcSdp1K8H6x8fbOy06t2VsZHhMHf-1x7Y/edit?usp=sharing"",""แผน!H37"")"),0)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hidden="1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IFERROR(__xludf.DUMMYFUNCTION("IMPORTRANGE(""https://docs.google.com/spreadsheets/d/1eHaY18a8A9IcSdp1K8H6x8fbOy06t2VsZHhMHf-1x7Y/edit?usp=sharing"",""แผน!I37"")"),0)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hidden="1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IFERROR(__xludf.DUMMYFUNCTION("IMPORTRANGE(""https://docs.google.com/spreadsheets/d/1eHaY18a8A9IcSdp1K8H6x8fbOy06t2VsZHhMHf-1x7Y/edit?usp=sharing"",""แผน!F37"")"),0)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hidden="1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IFERROR(__xludf.DUMMYFUNCTION("IMPORTRANGE(""https://docs.google.com/spreadsheets/d/1eHaY18a8A9IcSdp1K8H6x8fbOy06t2VsZHhMHf-1x7Y/edit?usp=sharing"",""แผน!G37"")"),0)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hidden="1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IFERROR(__xludf.DUMMYFUNCTION("IMPORTRANGE(""https://docs.google.com/spreadsheets/d/1eHaY18a8A9IcSdp1K8H6x8fbOy06t2VsZHhMHf-1x7Y/edit?usp=sharing"",""แผน!D37"")"),0)</f>
        <v>0</v>
      </c>
      <c r="J88" s="595">
        <v>0</v>
      </c>
      <c r="K88" s="621">
        <f ca="1">IF(I88&gt;0,J88*100/I88,0)</f>
        <v>0</v>
      </c>
      <c r="L88" s="525"/>
      <c r="M88" s="525"/>
      <c r="N88" s="525"/>
      <c r="O88" s="525"/>
      <c r="P88" s="525"/>
    </row>
    <row r="89" spans="1:16" ht="18.75" hidden="1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IFERROR(__xludf.DUMMYFUNCTION("IMPORTRANGE(""https://docs.google.com/spreadsheets/d/1eHaY18a8A9IcSdp1K8H6x8fbOy06t2VsZHhMHf-1x7Y/edit?usp=sharing"",""แผน!E37"")"),0)</f>
        <v>0</v>
      </c>
      <c r="J89" s="595">
        <v>0</v>
      </c>
      <c r="K89" s="621">
        <f ca="1">IF(I89&gt;0,J89*100/I89,0)</f>
        <v>0</v>
      </c>
      <c r="L89" s="525"/>
      <c r="M89" s="525"/>
      <c r="N89" s="525"/>
      <c r="O89" s="525"/>
      <c r="P89" s="525"/>
    </row>
    <row r="90" spans="1:16" ht="18.75" hidden="1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IFERROR(__xludf.DUMMYFUNCTION("IMPORTRANGE(""https://docs.google.com/spreadsheets/d/1eHaY18a8A9IcSdp1K8H6x8fbOy06t2VsZHhMHf-1x7Y/edit?usp=sharing"",""แผน!J37"")"),0)</f>
        <v>0</v>
      </c>
      <c r="J90" s="595">
        <v>0</v>
      </c>
      <c r="K90" s="621">
        <f ca="1">IF(I90&gt;0,J90*100/I90,0)</f>
        <v>0</v>
      </c>
      <c r="L90" s="525"/>
      <c r="M90" s="525"/>
      <c r="N90" s="525"/>
      <c r="O90" s="525"/>
      <c r="P90" s="525"/>
    </row>
    <row r="91" spans="1:16" ht="19.5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51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17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151000</v>
      </c>
      <c r="M94" s="577">
        <f ca="1">M95+M96</f>
        <v>127900</v>
      </c>
      <c r="N94" s="577">
        <f ca="1">N95+N96</f>
        <v>0</v>
      </c>
      <c r="O94" s="577">
        <f ca="1">IF(L94&gt;0,N94*100/L94,0)</f>
        <v>0</v>
      </c>
      <c r="P94" s="577">
        <f ca="1">IF(M94&gt;0,N94*100/M94,0)</f>
        <v>0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151000</v>
      </c>
      <c r="M96" s="425">
        <f ca="1">M99+M102</f>
        <v>127900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151000</v>
      </c>
      <c r="M97" s="425">
        <f ca="1">M98+M99</f>
        <v>127900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IFERROR(__xludf.DUMMYFUNCTION("IMPORTRANGE(""https://docs.google.com/spreadsheets/d/1-uDff_7J0KD5mKrp0Vvzr7lt3OU09vwQwhkpOPPYv2Y/edit?usp=sharing"",""งบพรบ!AW37"")"),151000)</f>
        <v>151000</v>
      </c>
      <c r="M99" s="425">
        <f ca="1">IFERROR(__xludf.DUMMYFUNCTION("IMPORTRANGE(""https://docs.google.com/spreadsheets/d/1-uDff_7J0KD5mKrp0Vvzr7lt3OU09vwQwhkpOPPYv2Y/edit?usp=sharing"",""งบพรบ!BB37"")"),127900)</f>
        <v>127900</v>
      </c>
      <c r="N99" s="425">
        <f ca="1">IFERROR(__xludf.DUMMYFUNCTION("IMPORTRANGE(""https://docs.google.com/spreadsheets/d/1-uDff_7J0KD5mKrp0Vvzr7lt3OU09vwQwhkpOPPYv2Y/edit?usp=sharing"",""งบพรบ!BD37"")"),0)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IFERROR(__xludf.DUMMYFUNCTION("IMPORTRANGE(""https://docs.google.com/spreadsheets/d/1-uDff_7J0KD5mKrp0Vvzr7lt3OU09vwQwhkpOPPYv2Y/edit?usp=sharing"",""งบพรบ!AZ37"")"),0)</f>
        <v>0</v>
      </c>
      <c r="M102" s="425">
        <f ca="1">IFERROR(__xludf.DUMMYFUNCTION("IMPORTRANGE(""https://docs.google.com/spreadsheets/d/1-uDff_7J0KD5mKrp0Vvzr7lt3OU09vwQwhkpOPPYv2Y/edit?usp=sharing"",""งบพรบ!BC37"")"),0)</f>
        <v>0</v>
      </c>
      <c r="N102" s="425">
        <f ca="1">IFERROR(__xludf.DUMMYFUNCTION("IMPORTRANGE(""https://docs.google.com/spreadsheets/d/1-uDff_7J0KD5mKrp0Vvzr7lt3OU09vwQwhkpOPPYv2Y/edit?usp=sharing"",""งบพรบ!BE37"")"),0)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IFERROR(__xludf.DUMMYFUNCTION("IMPORTRANGE(""https://docs.google.com/spreadsheets/d/1eHaY18a8A9IcSdp1K8H6x8fbOy06t2VsZHhMHf-1x7Y/edit?usp=sharing"",""แผน!N37"")"),51)</f>
        <v>51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IFERROR(__xludf.DUMMYFUNCTION("IMPORTRANGE(""https://docs.google.com/spreadsheets/d/1eHaY18a8A9IcSdp1K8H6x8fbOy06t2VsZHhMHf-1x7Y/edit?usp=sharing"",""แผน!O37"")"),17)</f>
        <v>17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IFERROR(__xludf.DUMMYFUNCTION("IMPORTRANGE(""https://docs.google.com/spreadsheets/d/1eHaY18a8A9IcSdp1K8H6x8fbOy06t2VsZHhMHf-1x7Y/edit?usp=sharing"",""แผน!R37"")"),17)</f>
        <v>17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IFERROR(__xludf.DUMMYFUNCTION("IMPORTRANGE(""https://docs.google.com/spreadsheets/d/1-uDff_7J0KD5mKrp0Vvzr7lt3OU09vwQwhkpOPPYv2Y/edit?usp=sharing"",""งบพรบ!BG37"")"),0)</f>
        <v>0</v>
      </c>
      <c r="M130" s="723">
        <f ca="1">IFERROR(__xludf.DUMMYFUNCTION("IMPORTRANGE(""https://docs.google.com/spreadsheets/d/1-uDff_7J0KD5mKrp0Vvzr7lt3OU09vwQwhkpOPPYv2Y/edit?usp=sharing"",""งบพรบ!BL37"")"),0)</f>
        <v>0</v>
      </c>
      <c r="N130" s="723">
        <f ca="1">IFERROR(__xludf.DUMMYFUNCTION("IMPORTRANGE(""https://docs.google.com/spreadsheets/d/1-uDff_7J0KD5mKrp0Vvzr7lt3OU09vwQwhkpOPPYv2Y/edit?usp=sharing"",""งบพรบ!BN37"")"),0)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IFERROR(__xludf.DUMMYFUNCTION("IMPORTRANGE(""https://docs.google.com/spreadsheets/d/1-uDff_7J0KD5mKrp0Vvzr7lt3OU09vwQwhkpOPPYv2Y/edit?usp=sharing"",""งบพรบ!BJ37"")"),0)</f>
        <v>0</v>
      </c>
      <c r="M133" s="723">
        <f ca="1">IFERROR(__xludf.DUMMYFUNCTION("IMPORTRANGE(""https://docs.google.com/spreadsheets/d/1-uDff_7J0KD5mKrp0Vvzr7lt3OU09vwQwhkpOPPYv2Y/edit?usp=sharing"",""งบพรบ!BM37"")"),0)</f>
        <v>0</v>
      </c>
      <c r="N133" s="723">
        <f ca="1">IFERROR(__xludf.DUMMYFUNCTION("IMPORTRANGE(""https://docs.google.com/spreadsheets/d/1-uDff_7J0KD5mKrp0Vvzr7lt3OU09vwQwhkpOPPYv2Y/edit?usp=sharing"",""งบพรบ!BO37"")"),0)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0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10</v>
      </c>
      <c r="J137" s="705">
        <f>J152</f>
        <v>0</v>
      </c>
      <c r="K137" s="704">
        <f ca="1">IF(I137&gt;0,J137*100/I137,0)</f>
        <v>0</v>
      </c>
      <c r="L137" s="703"/>
      <c r="M137" s="703"/>
      <c r="N137" s="703"/>
      <c r="O137" s="703"/>
      <c r="P137" s="703"/>
    </row>
    <row r="138" spans="1:16" ht="19.5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1</v>
      </c>
      <c r="J138" s="705">
        <f>J153</f>
        <v>0</v>
      </c>
      <c r="K138" s="704">
        <f ca="1">IF(I138&gt;0,J138*100/I138,0)</f>
        <v>0</v>
      </c>
      <c r="L138" s="703"/>
      <c r="M138" s="703"/>
      <c r="N138" s="703"/>
      <c r="O138" s="703"/>
      <c r="P138" s="703"/>
    </row>
    <row r="139" spans="1:16" ht="19.5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23300</v>
      </c>
      <c r="M139" s="577">
        <f ca="1">M140+M141</f>
        <v>18300</v>
      </c>
      <c r="N139" s="577">
        <f ca="1">N140+N141</f>
        <v>0</v>
      </c>
      <c r="O139" s="577">
        <f ca="1">IF(L139&gt;0,N139*100/L139,0)</f>
        <v>0</v>
      </c>
      <c r="P139" s="577">
        <f ca="1">IF(M139&gt;0,N139*100/M139,0)</f>
        <v>0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23300</v>
      </c>
      <c r="M141" s="425">
        <f ca="1">M144+M147</f>
        <v>18300</v>
      </c>
      <c r="N141" s="425">
        <f ca="1">N144+N147</f>
        <v>0</v>
      </c>
      <c r="O141" s="425">
        <f ca="1">IF(L141&gt;0,N141*100/L141,0)</f>
        <v>0</v>
      </c>
      <c r="P141" s="425">
        <f ca="1">IF(M141&gt;0,N141*100/M141,0)</f>
        <v>0</v>
      </c>
    </row>
    <row r="142" spans="1:16" ht="18.75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23300</v>
      </c>
      <c r="M142" s="425">
        <f ca="1">M143+M144</f>
        <v>18300</v>
      </c>
      <c r="N142" s="425">
        <f ca="1">N143+N144</f>
        <v>0</v>
      </c>
      <c r="O142" s="425">
        <f ca="1">IF(L142&gt;0,N142*100/L142,0)</f>
        <v>0</v>
      </c>
      <c r="P142" s="425">
        <f ca="1">IF(M142&gt;0,N142*100/M142,0)</f>
        <v>0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IFERROR(__xludf.DUMMYFUNCTION("IMPORTRANGE(""https://docs.google.com/spreadsheets/d/1-uDff_7J0KD5mKrp0Vvzr7lt3OU09vwQwhkpOPPYv2Y/edit?usp=sharing"",""งบพรบ!BQ37"")"),23300)</f>
        <v>23300</v>
      </c>
      <c r="M144" s="425">
        <f ca="1">IFERROR(__xludf.DUMMYFUNCTION("IMPORTRANGE(""https://docs.google.com/spreadsheets/d/1-uDff_7J0KD5mKrp0Vvzr7lt3OU09vwQwhkpOPPYv2Y/edit?usp=sharing"",""งบพรบ!BV37"")"),18300)</f>
        <v>18300</v>
      </c>
      <c r="N144" s="425">
        <f ca="1">IFERROR(__xludf.DUMMYFUNCTION("IMPORTRANGE(""https://docs.google.com/spreadsheets/d/1-uDff_7J0KD5mKrp0Vvzr7lt3OU09vwQwhkpOPPYv2Y/edit?usp=sharing"",""งบพรบ!BX37"")"),0)</f>
        <v>0</v>
      </c>
      <c r="O144" s="425">
        <f ca="1">IF(L144&gt;0,N144*100/L144,0)</f>
        <v>0</v>
      </c>
      <c r="P144" s="425">
        <f ca="1">IF(M144&gt;0,N144*100/M144,0)</f>
        <v>0</v>
      </c>
    </row>
    <row r="145" spans="1:16" ht="18.75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IFERROR(__xludf.DUMMYFUNCTION("IMPORTRANGE(""https://docs.google.com/spreadsheets/d/1-uDff_7J0KD5mKrp0Vvzr7lt3OU09vwQwhkpOPPYv2Y/edit?usp=sharing"",""งบพรบ!BT37"")"),0)</f>
        <v>0</v>
      </c>
      <c r="M147" s="425">
        <f ca="1">IFERROR(__xludf.DUMMYFUNCTION("IMPORTRANGE(""https://docs.google.com/spreadsheets/d/1-uDff_7J0KD5mKrp0Vvzr7lt3OU09vwQwhkpOPPYv2Y/edit?usp=sharing"",""งบพรบ!BW37"")"),0)</f>
        <v>0</v>
      </c>
      <c r="N147" s="425">
        <f ca="1">IFERROR(__xludf.DUMMYFUNCTION("IMPORTRANGE(""https://docs.google.com/spreadsheets/d/1-uDff_7J0KD5mKrp0Vvzr7lt3OU09vwQwhkpOPPYv2Y/edit?usp=sharing"",""งบพรบ!BY37"")"),0)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x14ac:dyDescent="0.3">
      <c r="A150" s="535"/>
      <c r="B150" s="418"/>
      <c r="C150" s="418"/>
      <c r="D150" s="420"/>
      <c r="E150" s="570" t="s">
        <v>159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IFERROR(__xludf.DUMMYFUNCTION("IMPORTRANGE(""https://docs.google.com/spreadsheets/d/1eHaY18a8A9IcSdp1K8H6x8fbOy06t2VsZHhMHf-1x7Y/edit?usp=sharing"",""แผน!U37"")"),0)</f>
        <v>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IFERROR(__xludf.DUMMYFUNCTION("IMPORTRANGE(""https://docs.google.com/spreadsheets/d/1eHaY18a8A9IcSdp1K8H6x8fbOy06t2VsZHhMHf-1x7Y/edit?usp=sharing"",""แผน!V37"")"),0)</f>
        <v>0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x14ac:dyDescent="0.3">
      <c r="A152" s="535"/>
      <c r="B152" s="418"/>
      <c r="C152" s="418"/>
      <c r="D152" s="420"/>
      <c r="E152" s="570" t="s">
        <v>158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IFERROR(__xludf.DUMMYFUNCTION("IMPORTRANGE(""https://docs.google.com/spreadsheets/d/1eHaY18a8A9IcSdp1K8H6x8fbOy06t2VsZHhMHf-1x7Y/edit?usp=sharing"",""แผน!W37"")"),10)</f>
        <v>10</v>
      </c>
      <c r="J152" s="595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IFERROR(__xludf.DUMMYFUNCTION("IMPORTRANGE(""https://docs.google.com/spreadsheets/d/1eHaY18a8A9IcSdp1K8H6x8fbOy06t2VsZHhMHf-1x7Y/edit?usp=sharing"",""แผน!X37"")"),1)</f>
        <v>1</v>
      </c>
      <c r="J153" s="595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IFERROR(__xludf.DUMMYFUNCTION("IMPORTRANGE(""https://docs.google.com/spreadsheets/d/1eHaY18a8A9IcSdp1K8H6x8fbOy06t2VsZHhMHf-1x7Y/edit?usp=sharing"",""แผน!Y37"")"),0)</f>
        <v>0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I167</f>
        <v>10</v>
      </c>
      <c r="J156" s="705">
        <f>J167</f>
        <v>0</v>
      </c>
      <c r="K156" s="704">
        <f ca="1">IF(I156&gt;0,J156*100/I156,0)</f>
        <v>0</v>
      </c>
      <c r="L156" s="703"/>
      <c r="M156" s="703"/>
      <c r="N156" s="703"/>
      <c r="O156" s="703"/>
      <c r="P156" s="703"/>
    </row>
    <row r="157" spans="1:16" ht="19.5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3000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3000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3000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IFERROR(__xludf.DUMMYFUNCTION("IMPORTRANGE(""https://docs.google.com/spreadsheets/d/1-uDff_7J0KD5mKrp0Vvzr7lt3OU09vwQwhkpOPPYv2Y/edit?usp=sharing"",""งบพรบ!CA37"")"),3000)</f>
        <v>3000</v>
      </c>
      <c r="M162" s="425">
        <f ca="1">IFERROR(__xludf.DUMMYFUNCTION("IMPORTRANGE(""https://docs.google.com/spreadsheets/d/1-uDff_7J0KD5mKrp0Vvzr7lt3OU09vwQwhkpOPPYv2Y/edit?usp=sharing"",""งบพรบ!CF37"")"),0)</f>
        <v>0</v>
      </c>
      <c r="N162" s="425">
        <f ca="1">IFERROR(__xludf.DUMMYFUNCTION("IMPORTRANGE(""https://docs.google.com/spreadsheets/d/1-uDff_7J0KD5mKrp0Vvzr7lt3OU09vwQwhkpOPPYv2Y/edit?usp=sharing"",""งบพรบ!CH37"")"),0)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IFERROR(__xludf.DUMMYFUNCTION("IMPORTRANGE(""https://docs.google.com/spreadsheets/d/1-uDff_7J0KD5mKrp0Vvzr7lt3OU09vwQwhkpOPPYv2Y/edit?usp=sharing"",""งบพรบ!CD37"")"),0)</f>
        <v>0</v>
      </c>
      <c r="M165" s="425">
        <f ca="1">IFERROR(__xludf.DUMMYFUNCTION("IMPORTRANGE(""https://docs.google.com/spreadsheets/d/1-uDff_7J0KD5mKrp0Vvzr7lt3OU09vwQwhkpOPPYv2Y/edit?usp=sharing"",""งบพรบ!CG37"")"),0)</f>
        <v>0</v>
      </c>
      <c r="N165" s="425">
        <f ca="1">IFERROR(__xludf.DUMMYFUNCTION("IMPORTRANGE(""https://docs.google.com/spreadsheets/d/1-uDff_7J0KD5mKrp0Vvzr7lt3OU09vwQwhkpOPPYv2Y/edit?usp=sharing"",""งบพรบ!CI37"")"),0)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IFERROR(__xludf.DUMMYFUNCTION("IMPORTRANGE(""https://docs.google.com/spreadsheets/d/1eHaY18a8A9IcSdp1K8H6x8fbOy06t2VsZHhMHf-1x7Y/edit?usp=sharing"",""แผน!Z37"")"),10)</f>
        <v>10</v>
      </c>
      <c r="J167" s="595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I167</f>
        <v>10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I167</f>
        <v>10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7</v>
      </c>
      <c r="J172" s="688">
        <f>J183+J184</f>
        <v>0</v>
      </c>
      <c r="K172" s="687">
        <f ca="1">IF(I172&gt;0,J172*100/I172,0)</f>
        <v>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19590</v>
      </c>
      <c r="M173" s="577">
        <f ca="1">M174+M175</f>
        <v>19590</v>
      </c>
      <c r="N173" s="577">
        <f ca="1">N174+N175</f>
        <v>0</v>
      </c>
      <c r="O173" s="577">
        <f ca="1">IF(L173&gt;0,N173*100/L173,0)</f>
        <v>0</v>
      </c>
      <c r="P173" s="577">
        <f ca="1">IF(M173&gt;0,N173*100/M173,0)</f>
        <v>0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19590</v>
      </c>
      <c r="N175" s="425">
        <f ca="1">N178+N181</f>
        <v>0</v>
      </c>
      <c r="O175" s="425">
        <f ca="1">IF(L175&gt;0,N175*100/L175,0)</f>
        <v>0</v>
      </c>
      <c r="P175" s="425">
        <f ca="1">IF(M175&gt;0,N175*100/M175,0)</f>
        <v>0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19590</v>
      </c>
      <c r="M176" s="425">
        <f ca="1">M177+M178</f>
        <v>19590</v>
      </c>
      <c r="N176" s="425">
        <f ca="1">N177+N178</f>
        <v>0</v>
      </c>
      <c r="O176" s="425">
        <f ca="1">IF(L176&gt;0,N176*100/L176,0)</f>
        <v>0</v>
      </c>
      <c r="P176" s="425">
        <f ca="1">IF(M176&gt;0,N176*100/M176,0)</f>
        <v>0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IFERROR(__xludf.DUMMYFUNCTION("IMPORTRANGE(""https://docs.google.com/spreadsheets/d/1-uDff_7J0KD5mKrp0Vvzr7lt3OU09vwQwhkpOPPYv2Y/edit?usp=sharing"",""งบพรบ!CK37"")"),19590)</f>
        <v>19590</v>
      </c>
      <c r="M178" s="425">
        <f ca="1">IFERROR(__xludf.DUMMYFUNCTION("IMPORTRANGE(""https://docs.google.com/spreadsheets/d/1-uDff_7J0KD5mKrp0Vvzr7lt3OU09vwQwhkpOPPYv2Y/edit?usp=sharing"",""งบพรบ!CP37"")"),19590)</f>
        <v>19590</v>
      </c>
      <c r="N178" s="425">
        <f ca="1">IFERROR(__xludf.DUMMYFUNCTION("IMPORTRANGE(""https://docs.google.com/spreadsheets/d/1-uDff_7J0KD5mKrp0Vvzr7lt3OU09vwQwhkpOPPYv2Y/edit?usp=sharing"",""งบพรบ!CR37"")"),0)</f>
        <v>0</v>
      </c>
      <c r="O178" s="425">
        <f ca="1">IF(L178&gt;0,N178*100/L178,0)</f>
        <v>0</v>
      </c>
      <c r="P178" s="425">
        <f ca="1">IF(M178&gt;0,N178*100/M178,0)</f>
        <v>0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IFERROR(__xludf.DUMMYFUNCTION("IMPORTRANGE(""https://docs.google.com/spreadsheets/d/1-uDff_7J0KD5mKrp0Vvzr7lt3OU09vwQwhkpOPPYv2Y/edit?usp=sharing"",""งบพรบ!CN37"")"),0)</f>
        <v>0</v>
      </c>
      <c r="M181" s="425">
        <f ca="1">IFERROR(__xludf.DUMMYFUNCTION("IMPORTRANGE(""https://docs.google.com/spreadsheets/d/1-uDff_7J0KD5mKrp0Vvzr7lt3OU09vwQwhkpOPPYv2Y/edit?usp=sharing"",""งบพรบ!CQ37"")"),0)</f>
        <v>0</v>
      </c>
      <c r="N181" s="425">
        <f ca="1">IFERROR(__xludf.DUMMYFUNCTION("IMPORTRANGE(""https://docs.google.com/spreadsheets/d/1-uDff_7J0KD5mKrp0Vvzr7lt3OU09vwQwhkpOPPYv2Y/edit?usp=sharing"",""งบพรบ!CS37"")"),0)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IFERROR(__xludf.DUMMYFUNCTION("IMPORTRANGE(""https://docs.google.com/spreadsheets/d/1eHaY18a8A9IcSdp1K8H6x8fbOy06t2VsZHhMHf-1x7Y/edit?usp=sharing"",""แผน!AA37"")"),7)</f>
        <v>7</v>
      </c>
      <c r="J183" s="595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0</v>
      </c>
      <c r="J185" s="688">
        <f>J230+J231</f>
        <v>0</v>
      </c>
      <c r="K185" s="687">
        <f ca="1">IF(I185&gt;0,J185*100/I185,0)</f>
        <v>0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163500</v>
      </c>
      <c r="M186" s="577">
        <f ca="1">M187+M188</f>
        <v>105500</v>
      </c>
      <c r="N186" s="577">
        <f ca="1">N187+N188</f>
        <v>24000</v>
      </c>
      <c r="O186" s="577">
        <f ca="1">IF(L186&gt;0,N186*100/L186,0)</f>
        <v>14.678899082568808</v>
      </c>
      <c r="P186" s="577">
        <f ca="1">IF(M186&gt;0,N186*100/M186,0)</f>
        <v>22.748815165876778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163500</v>
      </c>
      <c r="M188" s="425">
        <f ca="1">M191+M194</f>
        <v>105500</v>
      </c>
      <c r="N188" s="425">
        <f ca="1">N191+N194</f>
        <v>24000</v>
      </c>
      <c r="O188" s="425">
        <f ca="1">IF(L188&gt;0,N188*100/L188,0)</f>
        <v>14.678899082568808</v>
      </c>
      <c r="P188" s="425">
        <f ca="1">IF(M188&gt;0,N188*100/M188,0)</f>
        <v>22.748815165876778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163500</v>
      </c>
      <c r="M189" s="425">
        <f ca="1">M190+M191</f>
        <v>105500</v>
      </c>
      <c r="N189" s="425">
        <f ca="1">N190+N191</f>
        <v>24000</v>
      </c>
      <c r="O189" s="425">
        <f ca="1">IF(L189&gt;0,N189*100/L189,0)</f>
        <v>14.678899082568808</v>
      </c>
      <c r="P189" s="425">
        <f ca="1">IF(M189&gt;0,N189*100/M189,0)</f>
        <v>22.748815165876778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IFERROR(__xludf.DUMMYFUNCTION("IMPORTRANGE(""https://docs.google.com/spreadsheets/d/1-uDff_7J0KD5mKrp0Vvzr7lt3OU09vwQwhkpOPPYv2Y/edit?usp=sharing"",""งบพรบ!CU37"")"),163500)</f>
        <v>163500</v>
      </c>
      <c r="M191" s="425">
        <f ca="1">IFERROR(__xludf.DUMMYFUNCTION("IMPORTRANGE(""https://docs.google.com/spreadsheets/d/1-uDff_7J0KD5mKrp0Vvzr7lt3OU09vwQwhkpOPPYv2Y/edit?usp=sharing"",""งบพรบ!CZ37"")"),105500)</f>
        <v>105500</v>
      </c>
      <c r="N191" s="425">
        <f ca="1">IFERROR(__xludf.DUMMYFUNCTION("IMPORTRANGE(""https://docs.google.com/spreadsheets/d/1-uDff_7J0KD5mKrp0Vvzr7lt3OU09vwQwhkpOPPYv2Y/edit?usp=sharing"",""งบพรบ!DB37"")"),24000)</f>
        <v>24000</v>
      </c>
      <c r="O191" s="425">
        <f ca="1">IF(L191&gt;0,N191*100/L191,0)</f>
        <v>14.678899082568808</v>
      </c>
      <c r="P191" s="425">
        <f ca="1">IF(M191&gt;0,N191*100/M191,0)</f>
        <v>22.748815165876778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IFERROR(__xludf.DUMMYFUNCTION("IMPORTRANGE(""https://docs.google.com/spreadsheets/d/1-uDff_7J0KD5mKrp0Vvzr7lt3OU09vwQwhkpOPPYv2Y/edit?usp=sharing"",""งบพรบ!CX37"")"),0)</f>
        <v>0</v>
      </c>
      <c r="M194" s="425">
        <f ca="1">IFERROR(__xludf.DUMMYFUNCTION("IMPORTRANGE(""https://docs.google.com/spreadsheets/d/1-uDff_7J0KD5mKrp0Vvzr7lt3OU09vwQwhkpOPPYv2Y/edit?usp=sharing"",""งบพรบ!DA37"")"),0)</f>
        <v>0</v>
      </c>
      <c r="N194" s="425">
        <f ca="1">IFERROR(__xludf.DUMMYFUNCTION("IMPORTRANGE(""https://docs.google.com/spreadsheets/d/1-uDff_7J0KD5mKrp0Vvzr7lt3OU09vwQwhkpOPPYv2Y/edit?usp=sharing"",""งบพรบ!DC37"")"),0)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0</v>
      </c>
      <c r="K195" s="439">
        <f ca="1">IF(I195&gt;0,J195*100/I195,0)</f>
        <v>0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IFERROR(__xludf.DUMMYFUNCTION("IMPORTRANGE(""https://docs.google.com/spreadsheets/d/1eHaY18a8A9IcSdp1K8H6x8fbOy06t2VsZHhMHf-1x7Y/edit?usp=sharing"",""แผน!AB37"")"),6000)</f>
        <v>6000</v>
      </c>
      <c r="M196" s="428"/>
      <c r="N196" s="686">
        <v>0</v>
      </c>
      <c r="O196" s="577">
        <f ca="1">IF(L196&gt;0,N196*100/L196,0)</f>
        <v>0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IFERROR(__xludf.DUMMYFUNCTION("IMPORTRANGE(""https://docs.google.com/spreadsheets/d/1eHaY18a8A9IcSdp1K8H6x8fbOy06t2VsZHhMHf-1x7Y/edit?usp=sharing"",""แผน!AE37"")"),4)</f>
        <v>4</v>
      </c>
      <c r="J198" s="595">
        <v>0</v>
      </c>
      <c r="K198" s="425">
        <f ca="1">IF(I198&gt;0,J198*100/I198,0)</f>
        <v>0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2</v>
      </c>
      <c r="J202" s="438">
        <f>J209</f>
        <v>0</v>
      </c>
      <c r="K202" s="439">
        <f ca="1">IF(I202&gt;0,J202*100/I202,0)</f>
        <v>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34000</v>
      </c>
      <c r="M203" s="428"/>
      <c r="N203" s="577">
        <f>N204+N205+N206+N207</f>
        <v>0</v>
      </c>
      <c r="O203" s="577">
        <f ca="1">IF(L203&gt;0,N203*100/L203,0)</f>
        <v>0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2" t="s">
        <v>157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IFERROR(__xludf.DUMMYFUNCTION("IMPORTRANGE(""https://docs.google.com/spreadsheets/d/1eHaY18a8A9IcSdp1K8H6x8fbOy06t2VsZHhMHf-1x7Y/edit?usp=sharing"",""แผน!AG37"")"),2000)</f>
        <v>2000</v>
      </c>
      <c r="M204" s="428"/>
      <c r="N204" s="683">
        <v>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IFERROR(__xludf.DUMMYFUNCTION("IMPORTRANGE(""https://docs.google.com/spreadsheets/d/1eHaY18a8A9IcSdp1K8H6x8fbOy06t2VsZHhMHf-1x7Y/edit?usp=sharing"",""แผน!AH37"")"),0)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IFERROR(__xludf.DUMMYFUNCTION("IMPORTRANGE(""https://docs.google.com/spreadsheets/d/1eHaY18a8A9IcSdp1K8H6x8fbOy06t2VsZHhMHf-1x7Y/edit?usp=sharing"",""แผน!AI37"")"),16000)</f>
        <v>16000</v>
      </c>
      <c r="M206" s="428"/>
      <c r="N206" s="683">
        <v>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IFERROR(__xludf.DUMMYFUNCTION("IMPORTRANGE(""https://docs.google.com/spreadsheets/d/1eHaY18a8A9IcSdp1K8H6x8fbOy06t2VsZHhMHf-1x7Y/edit?usp=sharing"",""แผน!AJ37"")"),16000)</f>
        <v>16000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IFERROR(__xludf.DUMMYFUNCTION("IMPORTRANGE(""https://docs.google.com/spreadsheets/d/1eHaY18a8A9IcSdp1K8H6x8fbOy06t2VsZHhMHf-1x7Y/edit?usp=sharing"",""แผน!AK37"")"),2)</f>
        <v>2</v>
      </c>
      <c r="J209" s="595">
        <v>0</v>
      </c>
      <c r="K209" s="621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IFERROR(__xludf.DUMMYFUNCTION("IMPORTRANGE(""https://docs.google.com/spreadsheets/d/1eHaY18a8A9IcSdp1K8H6x8fbOy06t2VsZHhMHf-1x7Y/edit?usp=sharing"",""แผน!JX37"")"),2)</f>
        <v>2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IFERROR(__xludf.DUMMYFUNCTION("IMPORTRANGE(""https://docs.google.com/spreadsheets/d/1eHaY18a8A9IcSdp1K8H6x8fbOy06t2VsZHhMHf-1x7Y/edit?usp=sharing"",""แผน!JY37"")"),2)</f>
        <v>2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2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28000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IFERROR(__xludf.DUMMYFUNCTION("IMPORTRANGE(""https://docs.google.com/spreadsheets/d/1eHaY18a8A9IcSdp1K8H6x8fbOy06t2VsZHhMHf-1x7Y/edit?usp=sharing"",""แผน!AM37"")"),2000)</f>
        <v>2000</v>
      </c>
      <c r="M215" s="428"/>
      <c r="N215" s="683">
        <v>0</v>
      </c>
      <c r="O215" s="525"/>
      <c r="P215" s="428"/>
    </row>
    <row r="216" spans="1:16" ht="18.75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IFERROR(__xludf.DUMMYFUNCTION("IMPORTRANGE(""https://docs.google.com/spreadsheets/d/1eHaY18a8A9IcSdp1K8H6x8fbOy06t2VsZHhMHf-1x7Y/edit?usp=sharing"",""แผน!AN37"")"),10000)</f>
        <v>10000</v>
      </c>
      <c r="M216" s="428"/>
      <c r="N216" s="683">
        <v>0</v>
      </c>
      <c r="O216" s="525"/>
      <c r="P216" s="428"/>
    </row>
    <row r="217" spans="1:16" ht="18.75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IFERROR(__xludf.DUMMYFUNCTION("IMPORTRANGE(""https://docs.google.com/spreadsheets/d/1eHaY18a8A9IcSdp1K8H6x8fbOy06t2VsZHhMHf-1x7Y/edit?usp=sharing"",""แผน!AO37"")"),16000)</f>
        <v>16000</v>
      </c>
      <c r="M217" s="428"/>
      <c r="N217" s="683">
        <v>0</v>
      </c>
      <c r="O217" s="525"/>
      <c r="P217" s="428"/>
    </row>
    <row r="218" spans="1:16" ht="19.5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IFERROR(__xludf.DUMMYFUNCTION("IMPORTRANGE(""https://docs.google.com/spreadsheets/d/1eHaY18a8A9IcSdp1K8H6x8fbOy06t2VsZHhMHf-1x7Y/edit?usp=sharing"",""แผน!AP37"")"),2)</f>
        <v>2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IFERROR(__xludf.DUMMYFUNCTION("IMPORTRANGE(""https://docs.google.com/spreadsheets/d/1eHaY18a8A9IcSdp1K8H6x8fbOy06t2VsZHhMHf-1x7Y/edit?usp=sharing"",""แผน!AP37"")"),2)</f>
        <v>2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20000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4500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2" t="s">
        <v>156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IFERROR(__xludf.DUMMYFUNCTION("IMPORTRANGE(""https://docs.google.com/spreadsheets/d/1eHaY18a8A9IcSdp1K8H6x8fbOy06t2VsZHhMHf-1x7Y/edit?usp=sharing"",""แผน!AR37"")"),3000)</f>
        <v>3000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IFERROR(__xludf.DUMMYFUNCTION("IMPORTRANGE(""https://docs.google.com/spreadsheets/d/1eHaY18a8A9IcSdp1K8H6x8fbOy06t2VsZHhMHf-1x7Y/edit?usp=sharing"",""แผน!AS37"")"),1500)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IFERROR(__xludf.DUMMYFUNCTION("IMPORTRANGE(""https://docs.google.com/spreadsheets/d/1eHaY18a8A9IcSdp1K8H6x8fbOy06t2VsZHhMHf-1x7Y/edit?usp=sharing"",""แผน!AT37"")"),0)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IFERROR(__xludf.DUMMYFUNCTION("IMPORTRANGE(""https://docs.google.com/spreadsheets/d/1eHaY18a8A9IcSdp1K8H6x8fbOy06t2VsZHhMHf-1x7Y/edit?usp=sharing"",""แผน!AV37"")"),20000)</f>
        <v>20000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IFERROR(__xludf.DUMMYFUNCTION("IMPORTRANGE(""https://docs.google.com/spreadsheets/d/1eHaY18a8A9IcSdp1K8H6x8fbOy06t2VsZHhMHf-1x7Y/edit?usp=sharing"",""แผน!AV37"")"),20000)</f>
        <v>20000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IFERROR(__xludf.DUMMYFUNCTION("IMPORTRANGE(""https://docs.google.com/spreadsheets/d/1eHaY18a8A9IcSdp1K8H6x8fbOy06t2VsZHhMHf-1x7Y/edit?usp=sharing"",""แผน!AU37"")"),0)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432"/>
      <c r="B231" s="434"/>
      <c r="C231" s="682" t="s">
        <v>99</v>
      </c>
      <c r="D231" s="433"/>
      <c r="E231" s="433"/>
      <c r="F231" s="433"/>
      <c r="G231" s="436"/>
      <c r="H231" s="437" t="s">
        <v>33</v>
      </c>
      <c r="I231" s="438">
        <f ca="1">I242+I253</f>
        <v>0</v>
      </c>
      <c r="J231" s="438">
        <f>J242+J253</f>
        <v>0</v>
      </c>
      <c r="K231" s="439">
        <f ca="1">IF(I231&gt;0,J231*100/I231,0)</f>
        <v>0</v>
      </c>
      <c r="L231" s="571"/>
      <c r="M231" s="571"/>
      <c r="N231" s="571"/>
      <c r="O231" s="571"/>
      <c r="P231" s="571"/>
    </row>
    <row r="232" spans="1:16" ht="19.5" hidden="1" x14ac:dyDescent="0.3">
      <c r="A232" s="535"/>
      <c r="B232" s="418"/>
      <c r="C232" s="570" t="s">
        <v>16</v>
      </c>
      <c r="D232" s="579" t="s">
        <v>17</v>
      </c>
      <c r="E232" s="418"/>
      <c r="F232" s="418"/>
      <c r="G232" s="422"/>
      <c r="H232" s="681" t="s">
        <v>12</v>
      </c>
      <c r="I232" s="526"/>
      <c r="J232" s="526"/>
      <c r="K232" s="525"/>
      <c r="L232" s="577">
        <f ca="1">L243+L254</f>
        <v>0</v>
      </c>
      <c r="M232" s="428"/>
      <c r="N232" s="577">
        <f>N243+N254</f>
        <v>0</v>
      </c>
      <c r="O232" s="428"/>
      <c r="P232" s="428"/>
    </row>
    <row r="233" spans="1:16" ht="18.75" hidden="1" x14ac:dyDescent="0.25">
      <c r="A233" s="535"/>
      <c r="B233" s="419"/>
      <c r="C233" s="418"/>
      <c r="D233" s="293" t="s">
        <v>80</v>
      </c>
      <c r="E233" s="418"/>
      <c r="F233" s="418"/>
      <c r="G233" s="422"/>
      <c r="H233" s="576" t="s">
        <v>12</v>
      </c>
      <c r="I233" s="526"/>
      <c r="J233" s="526"/>
      <c r="K233" s="525"/>
      <c r="L233" s="425">
        <f ca="1">L244+L255</f>
        <v>0</v>
      </c>
      <c r="M233" s="428"/>
      <c r="N233" s="425">
        <f>N244+N255</f>
        <v>0</v>
      </c>
      <c r="O233" s="428"/>
      <c r="P233" s="428"/>
    </row>
    <row r="234" spans="1:16" ht="18.75" hidden="1" x14ac:dyDescent="0.25">
      <c r="A234" s="417"/>
      <c r="B234" s="419"/>
      <c r="C234" s="419"/>
      <c r="D234" s="293" t="s">
        <v>82</v>
      </c>
      <c r="E234" s="418"/>
      <c r="F234" s="418"/>
      <c r="G234" s="422"/>
      <c r="H234" s="576" t="s">
        <v>12</v>
      </c>
      <c r="I234" s="427"/>
      <c r="J234" s="427"/>
      <c r="K234" s="428"/>
      <c r="L234" s="425">
        <f ca="1">L245+L256</f>
        <v>0</v>
      </c>
      <c r="M234" s="428"/>
      <c r="N234" s="425">
        <f>N245+N256</f>
        <v>0</v>
      </c>
      <c r="O234" s="428"/>
      <c r="P234" s="428"/>
    </row>
    <row r="235" spans="1:16" ht="18.75" hidden="1" x14ac:dyDescent="0.25">
      <c r="A235" s="417"/>
      <c r="B235" s="419"/>
      <c r="C235" s="419"/>
      <c r="D235" s="293" t="s">
        <v>100</v>
      </c>
      <c r="E235" s="418"/>
      <c r="F235" s="418"/>
      <c r="G235" s="422"/>
      <c r="H235" s="576" t="s">
        <v>12</v>
      </c>
      <c r="I235" s="427"/>
      <c r="J235" s="427"/>
      <c r="K235" s="428"/>
      <c r="L235" s="425">
        <f ca="1">L246+L257</f>
        <v>0</v>
      </c>
      <c r="M235" s="428"/>
      <c r="N235" s="425">
        <f>N246+N257</f>
        <v>0</v>
      </c>
      <c r="O235" s="428"/>
      <c r="P235" s="428"/>
    </row>
    <row r="236" spans="1:16" ht="18.75" hidden="1" x14ac:dyDescent="0.25">
      <c r="A236" s="417"/>
      <c r="B236" s="419"/>
      <c r="C236" s="419"/>
      <c r="D236" s="293" t="s">
        <v>101</v>
      </c>
      <c r="E236" s="418"/>
      <c r="F236" s="418"/>
      <c r="G236" s="422"/>
      <c r="H236" s="576" t="s">
        <v>12</v>
      </c>
      <c r="I236" s="427"/>
      <c r="J236" s="427"/>
      <c r="K236" s="428"/>
      <c r="L236" s="425">
        <f ca="1">L247+L258</f>
        <v>0</v>
      </c>
      <c r="M236" s="428"/>
      <c r="N236" s="425">
        <f>N247+N258</f>
        <v>0</v>
      </c>
      <c r="O236" s="428"/>
      <c r="P236" s="428"/>
    </row>
    <row r="237" spans="1:16" ht="19.5" hidden="1" x14ac:dyDescent="0.3">
      <c r="A237" s="532"/>
      <c r="B237" s="430"/>
      <c r="C237" s="680" t="s">
        <v>16</v>
      </c>
      <c r="D237" s="569" t="s">
        <v>36</v>
      </c>
      <c r="E237" s="529"/>
      <c r="F237" s="529"/>
      <c r="G237" s="528"/>
      <c r="H237" s="527"/>
      <c r="I237" s="526"/>
      <c r="J237" s="427"/>
      <c r="K237" s="428"/>
      <c r="L237" s="428"/>
      <c r="M237" s="428"/>
      <c r="N237" s="428"/>
      <c r="O237" s="525"/>
      <c r="P237" s="525"/>
    </row>
    <row r="238" spans="1:16" ht="18.75" hidden="1" x14ac:dyDescent="0.25">
      <c r="A238" s="532"/>
      <c r="B238" s="430"/>
      <c r="C238" s="430"/>
      <c r="D238" s="421" t="s">
        <v>102</v>
      </c>
      <c r="E238" s="420"/>
      <c r="F238" s="420"/>
      <c r="G238" s="527"/>
      <c r="H238" s="566" t="s">
        <v>33</v>
      </c>
      <c r="I238" s="424">
        <f ca="1">I249+I260</f>
        <v>0</v>
      </c>
      <c r="J238" s="424">
        <f>J249+J260</f>
        <v>0</v>
      </c>
      <c r="K238" s="425">
        <f ca="1">IF(I238&gt;0,J238*100/I238,0)</f>
        <v>0</v>
      </c>
      <c r="L238" s="428"/>
      <c r="M238" s="428"/>
      <c r="N238" s="428"/>
      <c r="O238" s="428"/>
      <c r="P238" s="428"/>
    </row>
    <row r="239" spans="1:16" ht="18.75" hidden="1" x14ac:dyDescent="0.25">
      <c r="A239" s="532"/>
      <c r="B239" s="430"/>
      <c r="C239" s="430"/>
      <c r="D239" s="679" t="s">
        <v>41</v>
      </c>
      <c r="E239" s="420"/>
      <c r="F239" s="420"/>
      <c r="G239" s="527"/>
      <c r="H239" s="527"/>
      <c r="I239" s="427"/>
      <c r="J239" s="427"/>
      <c r="K239" s="428"/>
      <c r="L239" s="428"/>
      <c r="M239" s="428"/>
      <c r="N239" s="428"/>
      <c r="O239" s="525"/>
      <c r="P239" s="525"/>
    </row>
    <row r="240" spans="1:16" ht="18.75" hidden="1" x14ac:dyDescent="0.25">
      <c r="A240" s="532"/>
      <c r="B240" s="430"/>
      <c r="C240" s="430"/>
      <c r="D240" s="430"/>
      <c r="E240" s="567" t="s">
        <v>103</v>
      </c>
      <c r="F240" s="420"/>
      <c r="G240" s="527"/>
      <c r="H240" s="566" t="s">
        <v>33</v>
      </c>
      <c r="I240" s="424">
        <f>I251+I262</f>
        <v>0</v>
      </c>
      <c r="J240" s="424">
        <f>J251+J262</f>
        <v>0</v>
      </c>
      <c r="K240" s="425">
        <f>IF(I240&gt;0,J240*100/I240,0)</f>
        <v>0</v>
      </c>
      <c r="L240" s="428"/>
      <c r="M240" s="428"/>
      <c r="N240" s="428"/>
      <c r="O240" s="428"/>
      <c r="P240" s="428"/>
    </row>
    <row r="241" spans="1:16" ht="18.75" hidden="1" x14ac:dyDescent="0.25">
      <c r="A241" s="532"/>
      <c r="B241" s="430"/>
      <c r="C241" s="430"/>
      <c r="D241" s="430"/>
      <c r="E241" s="567" t="s">
        <v>104</v>
      </c>
      <c r="F241" s="420"/>
      <c r="G241" s="527"/>
      <c r="H241" s="566" t="s">
        <v>54</v>
      </c>
      <c r="I241" s="424">
        <f>I252+I263</f>
        <v>0</v>
      </c>
      <c r="J241" s="424">
        <f>J252+J263</f>
        <v>0</v>
      </c>
      <c r="K241" s="425">
        <f>IF(I241&gt;0,J241*100/I241,0)</f>
        <v>0</v>
      </c>
      <c r="L241" s="428"/>
      <c r="M241" s="428"/>
      <c r="N241" s="428"/>
      <c r="O241" s="428"/>
      <c r="P241" s="428"/>
    </row>
    <row r="242" spans="1:16" ht="19.5" hidden="1" x14ac:dyDescent="0.3">
      <c r="A242" s="432"/>
      <c r="B242" s="434"/>
      <c r="C242" s="678" t="s">
        <v>105</v>
      </c>
      <c r="D242" s="433"/>
      <c r="E242" s="433"/>
      <c r="F242" s="433"/>
      <c r="G242" s="436"/>
      <c r="H242" s="677" t="s">
        <v>33</v>
      </c>
      <c r="I242" s="676">
        <f ca="1">I249</f>
        <v>0</v>
      </c>
      <c r="J242" s="676">
        <f>J249</f>
        <v>0</v>
      </c>
      <c r="K242" s="675">
        <f ca="1">IF(I242&gt;0,J242*100/I242,0)</f>
        <v>0</v>
      </c>
      <c r="L242" s="571"/>
      <c r="M242" s="571"/>
      <c r="N242" s="571"/>
      <c r="O242" s="571"/>
      <c r="P242" s="571"/>
    </row>
    <row r="243" spans="1:16" ht="19.5" hidden="1" x14ac:dyDescent="0.3">
      <c r="A243" s="535"/>
      <c r="B243" s="418"/>
      <c r="C243" s="531" t="s">
        <v>16</v>
      </c>
      <c r="D243" s="541" t="s">
        <v>17</v>
      </c>
      <c r="E243" s="418"/>
      <c r="F243" s="418"/>
      <c r="G243" s="422"/>
      <c r="H243" s="673" t="s">
        <v>12</v>
      </c>
      <c r="I243" s="526"/>
      <c r="J243" s="526"/>
      <c r="K243" s="525"/>
      <c r="L243" s="539">
        <f ca="1">L244+L245+L246+L247</f>
        <v>0</v>
      </c>
      <c r="M243" s="428"/>
      <c r="N243" s="539">
        <f>N244+N245+N246+N247</f>
        <v>0</v>
      </c>
      <c r="O243" s="539">
        <f ca="1">IF(L243&gt;0,N243*100/L243,0)</f>
        <v>0</v>
      </c>
      <c r="P243" s="539">
        <f>IF(M243&gt;0,N243*100/M243,0)</f>
        <v>0</v>
      </c>
    </row>
    <row r="244" spans="1:16" ht="18.75" hidden="1" x14ac:dyDescent="0.25">
      <c r="A244" s="535"/>
      <c r="B244" s="419"/>
      <c r="C244" s="418"/>
      <c r="D244" s="534" t="s">
        <v>80</v>
      </c>
      <c r="E244" s="418"/>
      <c r="F244" s="418"/>
      <c r="G244" s="422"/>
      <c r="H244" s="536" t="s">
        <v>12</v>
      </c>
      <c r="I244" s="526"/>
      <c r="J244" s="526"/>
      <c r="K244" s="525"/>
      <c r="L244" s="521">
        <f ca="1">IFERROR(__xludf.DUMMYFUNCTION("IMPORTRANGE(""https://docs.google.com/spreadsheets/d/1eHaY18a8A9IcSdp1K8H6x8fbOy06t2VsZHhMHf-1x7Y/edit?usp=sharing"",""แผน!AX37"")"),0)</f>
        <v>0</v>
      </c>
      <c r="M244" s="428"/>
      <c r="N244" s="672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34" t="s">
        <v>82</v>
      </c>
      <c r="E245" s="418"/>
      <c r="F245" s="418"/>
      <c r="G245" s="422"/>
      <c r="H245" s="536" t="s">
        <v>12</v>
      </c>
      <c r="I245" s="427"/>
      <c r="J245" s="427"/>
      <c r="K245" s="428"/>
      <c r="L245" s="521">
        <f ca="1">IFERROR(__xludf.DUMMYFUNCTION("IMPORTRANGE(""https://docs.google.com/spreadsheets/d/1eHaY18a8A9IcSdp1K8H6x8fbOy06t2VsZHhMHf-1x7Y/edit?usp=sharing"",""แผน!AY37"")"),0)</f>
        <v>0</v>
      </c>
      <c r="M245" s="428"/>
      <c r="N245" s="672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34" t="s">
        <v>100</v>
      </c>
      <c r="E246" s="418"/>
      <c r="F246" s="418"/>
      <c r="G246" s="422"/>
      <c r="H246" s="536" t="s">
        <v>12</v>
      </c>
      <c r="I246" s="427"/>
      <c r="J246" s="427"/>
      <c r="K246" s="428"/>
      <c r="L246" s="521">
        <f ca="1">IFERROR(__xludf.DUMMYFUNCTION("IMPORTRANGE(""https://docs.google.com/spreadsheets/d/1eHaY18a8A9IcSdp1K8H6x8fbOy06t2VsZHhMHf-1x7Y/edit?usp=sharing"",""แผน!AZ37"")"),0)</f>
        <v>0</v>
      </c>
      <c r="M246" s="428"/>
      <c r="N246" s="672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34" t="s">
        <v>101</v>
      </c>
      <c r="E247" s="418"/>
      <c r="F247" s="418"/>
      <c r="G247" s="422"/>
      <c r="H247" s="536" t="s">
        <v>12</v>
      </c>
      <c r="I247" s="427"/>
      <c r="J247" s="427"/>
      <c r="K247" s="428"/>
      <c r="L247" s="521">
        <f ca="1">IFERROR(__xludf.DUMMYFUNCTION("IMPORTRANGE(""https://docs.google.com/spreadsheets/d/1eHaY18a8A9IcSdp1K8H6x8fbOy06t2VsZHhMHf-1x7Y/edit?usp=sharing"",""แผน!BA37"")"),0)</f>
        <v>0</v>
      </c>
      <c r="M247" s="428"/>
      <c r="N247" s="672">
        <v>0</v>
      </c>
      <c r="O247" s="428"/>
      <c r="P247" s="428"/>
    </row>
    <row r="248" spans="1:16" ht="19.5" hidden="1" x14ac:dyDescent="0.3">
      <c r="A248" s="532"/>
      <c r="B248" s="430"/>
      <c r="C248" s="671" t="s">
        <v>16</v>
      </c>
      <c r="D248" s="530" t="s">
        <v>36</v>
      </c>
      <c r="E248" s="529"/>
      <c r="F248" s="529"/>
      <c r="G248" s="528"/>
      <c r="H248" s="527"/>
      <c r="I248" s="526"/>
      <c r="J248" s="427"/>
      <c r="K248" s="428"/>
      <c r="L248" s="428"/>
      <c r="M248" s="428"/>
      <c r="N248" s="428"/>
      <c r="O248" s="525"/>
      <c r="P248" s="525"/>
    </row>
    <row r="249" spans="1:16" ht="18.75" hidden="1" x14ac:dyDescent="0.25">
      <c r="A249" s="532"/>
      <c r="B249" s="430"/>
      <c r="C249" s="430"/>
      <c r="D249" s="524" t="s">
        <v>102</v>
      </c>
      <c r="E249" s="420"/>
      <c r="F249" s="420"/>
      <c r="G249" s="527"/>
      <c r="H249" s="668" t="s">
        <v>33</v>
      </c>
      <c r="I249" s="199">
        <f ca="1">IFERROR(__xludf.DUMMYFUNCTION("IMPORTRANGE(""https://docs.google.com/spreadsheets/d/1eHaY18a8A9IcSdp1K8H6x8fbOy06t2VsZHhMHf-1x7Y/edit?usp=sharing"",""แผน!BG37"")"),0)</f>
        <v>0</v>
      </c>
      <c r="J249" s="522">
        <v>0</v>
      </c>
      <c r="K249" s="521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2"/>
      <c r="B250" s="430"/>
      <c r="C250" s="430"/>
      <c r="D250" s="670" t="s">
        <v>41</v>
      </c>
      <c r="E250" s="420"/>
      <c r="F250" s="420"/>
      <c r="G250" s="527"/>
      <c r="H250" s="527"/>
      <c r="I250" s="427"/>
      <c r="J250" s="427"/>
      <c r="K250" s="428"/>
      <c r="L250" s="428"/>
      <c r="M250" s="428"/>
      <c r="N250" s="428"/>
      <c r="O250" s="525"/>
      <c r="P250" s="525"/>
    </row>
    <row r="251" spans="1:16" ht="18.75" hidden="1" x14ac:dyDescent="0.25">
      <c r="A251" s="532"/>
      <c r="B251" s="430"/>
      <c r="C251" s="430"/>
      <c r="D251" s="430"/>
      <c r="E251" s="669" t="s">
        <v>103</v>
      </c>
      <c r="F251" s="420"/>
      <c r="G251" s="527"/>
      <c r="H251" s="668" t="s">
        <v>33</v>
      </c>
      <c r="I251" s="199">
        <v>0</v>
      </c>
      <c r="J251" s="522">
        <v>0</v>
      </c>
      <c r="K251" s="521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2"/>
      <c r="B252" s="430"/>
      <c r="C252" s="430"/>
      <c r="D252" s="430"/>
      <c r="E252" s="669" t="s">
        <v>104</v>
      </c>
      <c r="F252" s="420"/>
      <c r="G252" s="527"/>
      <c r="H252" s="668" t="s">
        <v>54</v>
      </c>
      <c r="I252" s="199">
        <v>0</v>
      </c>
      <c r="J252" s="522">
        <v>0</v>
      </c>
      <c r="K252" s="521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78" t="s">
        <v>106</v>
      </c>
      <c r="D253" s="433"/>
      <c r="E253" s="433"/>
      <c r="F253" s="433"/>
      <c r="G253" s="436"/>
      <c r="H253" s="677" t="s">
        <v>33</v>
      </c>
      <c r="I253" s="676">
        <f ca="1">I260</f>
        <v>0</v>
      </c>
      <c r="J253" s="676">
        <f>J260</f>
        <v>0</v>
      </c>
      <c r="K253" s="675">
        <f ca="1">IF(I253&gt;0,J253*100/I253,0)</f>
        <v>0</v>
      </c>
      <c r="L253" s="571"/>
      <c r="M253" s="571"/>
      <c r="N253" s="571"/>
      <c r="O253" s="571"/>
      <c r="P253" s="571"/>
    </row>
    <row r="254" spans="1:16" ht="19.5" hidden="1" x14ac:dyDescent="0.3">
      <c r="A254" s="535"/>
      <c r="B254" s="418"/>
      <c r="C254" s="531" t="s">
        <v>16</v>
      </c>
      <c r="D254" s="674" t="s">
        <v>17</v>
      </c>
      <c r="E254" s="418"/>
      <c r="F254" s="418"/>
      <c r="G254" s="422"/>
      <c r="H254" s="673" t="s">
        <v>12</v>
      </c>
      <c r="I254" s="526"/>
      <c r="J254" s="526"/>
      <c r="K254" s="525"/>
      <c r="L254" s="539">
        <f ca="1">L255+L256+L257+L258</f>
        <v>0</v>
      </c>
      <c r="M254" s="428"/>
      <c r="N254" s="539">
        <f>N255+N256+N257+N258</f>
        <v>0</v>
      </c>
      <c r="O254" s="539">
        <f ca="1">IF(L254&gt;0,N254*100/L254,0)</f>
        <v>0</v>
      </c>
      <c r="P254" s="539">
        <f>IF(M254&gt;0,N254*100/M254,0)</f>
        <v>0</v>
      </c>
    </row>
    <row r="255" spans="1:16" ht="18.75" hidden="1" x14ac:dyDescent="0.25">
      <c r="A255" s="535"/>
      <c r="B255" s="419"/>
      <c r="C255" s="418"/>
      <c r="D255" s="534" t="s">
        <v>80</v>
      </c>
      <c r="E255" s="418"/>
      <c r="F255" s="418"/>
      <c r="G255" s="422"/>
      <c r="H255" s="536" t="s">
        <v>12</v>
      </c>
      <c r="I255" s="526"/>
      <c r="J255" s="526"/>
      <c r="K255" s="525"/>
      <c r="L255" s="521">
        <f ca="1">IFERROR(__xludf.DUMMYFUNCTION("IMPORTRANGE(""https://docs.google.com/spreadsheets/d/1eHaY18a8A9IcSdp1K8H6x8fbOy06t2VsZHhMHf-1x7Y/edit?usp=sharing"",""แผน!BB37"")"),0)</f>
        <v>0</v>
      </c>
      <c r="M255" s="428"/>
      <c r="N255" s="672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34" t="s">
        <v>82</v>
      </c>
      <c r="E256" s="418"/>
      <c r="F256" s="418"/>
      <c r="G256" s="422"/>
      <c r="H256" s="536" t="s">
        <v>12</v>
      </c>
      <c r="I256" s="427"/>
      <c r="J256" s="427"/>
      <c r="K256" s="428"/>
      <c r="L256" s="521">
        <f ca="1">IFERROR(__xludf.DUMMYFUNCTION("IMPORTRANGE(""https://docs.google.com/spreadsheets/d/1eHaY18a8A9IcSdp1K8H6x8fbOy06t2VsZHhMHf-1x7Y/edit?usp=sharing"",""แผน!BC37"")"),0)</f>
        <v>0</v>
      </c>
      <c r="M256" s="428"/>
      <c r="N256" s="672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34" t="s">
        <v>100</v>
      </c>
      <c r="E257" s="418"/>
      <c r="F257" s="418"/>
      <c r="G257" s="422"/>
      <c r="H257" s="536" t="s">
        <v>12</v>
      </c>
      <c r="I257" s="427"/>
      <c r="J257" s="427"/>
      <c r="K257" s="428"/>
      <c r="L257" s="521">
        <f ca="1">IFERROR(__xludf.DUMMYFUNCTION("IMPORTRANGE(""https://docs.google.com/spreadsheets/d/1eHaY18a8A9IcSdp1K8H6x8fbOy06t2VsZHhMHf-1x7Y/edit?usp=sharing"",""แผน!BD37"")"),0)</f>
        <v>0</v>
      </c>
      <c r="M257" s="428"/>
      <c r="N257" s="672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34" t="s">
        <v>101</v>
      </c>
      <c r="E258" s="418"/>
      <c r="F258" s="418"/>
      <c r="G258" s="422"/>
      <c r="H258" s="536" t="s">
        <v>12</v>
      </c>
      <c r="I258" s="427"/>
      <c r="J258" s="427"/>
      <c r="K258" s="428"/>
      <c r="L258" s="521">
        <f ca="1">IFERROR(__xludf.DUMMYFUNCTION("IMPORTRANGE(""https://docs.google.com/spreadsheets/d/1eHaY18a8A9IcSdp1K8H6x8fbOy06t2VsZHhMHf-1x7Y/edit?usp=sharing"",""แผน!BE37"")"),0)</f>
        <v>0</v>
      </c>
      <c r="M258" s="428"/>
      <c r="N258" s="672">
        <v>0</v>
      </c>
      <c r="O258" s="428"/>
      <c r="P258" s="428"/>
    </row>
    <row r="259" spans="1:16" ht="19.5" hidden="1" x14ac:dyDescent="0.3">
      <c r="A259" s="532"/>
      <c r="B259" s="430"/>
      <c r="C259" s="671" t="s">
        <v>16</v>
      </c>
      <c r="D259" s="530" t="s">
        <v>36</v>
      </c>
      <c r="E259" s="529"/>
      <c r="F259" s="529"/>
      <c r="G259" s="528"/>
      <c r="H259" s="527"/>
      <c r="I259" s="526"/>
      <c r="J259" s="427"/>
      <c r="K259" s="428"/>
      <c r="L259" s="428"/>
      <c r="M259" s="428"/>
      <c r="N259" s="428"/>
      <c r="O259" s="525"/>
      <c r="P259" s="525"/>
    </row>
    <row r="260" spans="1:16" ht="18.75" hidden="1" x14ac:dyDescent="0.25">
      <c r="A260" s="532"/>
      <c r="B260" s="430"/>
      <c r="C260" s="430"/>
      <c r="D260" s="524" t="s">
        <v>102</v>
      </c>
      <c r="E260" s="420"/>
      <c r="F260" s="420"/>
      <c r="G260" s="527"/>
      <c r="H260" s="668" t="s">
        <v>33</v>
      </c>
      <c r="I260" s="199">
        <f ca="1">IFERROR(__xludf.DUMMYFUNCTION("IMPORTRANGE(""https://docs.google.com/spreadsheets/d/1eHaY18a8A9IcSdp1K8H6x8fbOy06t2VsZHhMHf-1x7Y/edit?usp=sharing"",""แผน!BH37"")"),0)</f>
        <v>0</v>
      </c>
      <c r="J260" s="522">
        <v>0</v>
      </c>
      <c r="K260" s="521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2"/>
      <c r="B261" s="430"/>
      <c r="C261" s="430"/>
      <c r="D261" s="670" t="s">
        <v>41</v>
      </c>
      <c r="E261" s="420"/>
      <c r="F261" s="420"/>
      <c r="G261" s="527"/>
      <c r="H261" s="527"/>
      <c r="I261" s="427"/>
      <c r="J261" s="427"/>
      <c r="K261" s="428"/>
      <c r="L261" s="428"/>
      <c r="M261" s="428"/>
      <c r="N261" s="428"/>
      <c r="O261" s="525"/>
      <c r="P261" s="525"/>
    </row>
    <row r="262" spans="1:16" ht="18.75" hidden="1" x14ac:dyDescent="0.25">
      <c r="A262" s="532"/>
      <c r="B262" s="430"/>
      <c r="C262" s="430"/>
      <c r="D262" s="430"/>
      <c r="E262" s="669" t="s">
        <v>103</v>
      </c>
      <c r="F262" s="420"/>
      <c r="G262" s="527"/>
      <c r="H262" s="668" t="s">
        <v>33</v>
      </c>
      <c r="I262" s="427"/>
      <c r="J262" s="522">
        <v>0</v>
      </c>
      <c r="K262" s="521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2"/>
      <c r="B263" s="430"/>
      <c r="C263" s="430"/>
      <c r="D263" s="430"/>
      <c r="E263" s="669" t="s">
        <v>104</v>
      </c>
      <c r="F263" s="420"/>
      <c r="G263" s="527"/>
      <c r="H263" s="668" t="s">
        <v>54</v>
      </c>
      <c r="I263" s="427"/>
      <c r="J263" s="522">
        <v>0</v>
      </c>
      <c r="K263" s="521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IFERROR(__xludf.DUMMYFUNCTION("IMPORTRANGE(""https://docs.google.com/spreadsheets/d/1-uDff_7J0KD5mKrp0Vvzr7lt3OU09vwQwhkpOPPYv2Y/edit?usp=sharing"",""งบพรบ!DE37"")"),0)</f>
        <v>0</v>
      </c>
      <c r="M271" s="521">
        <f ca="1">IFERROR(__xludf.DUMMYFUNCTION("IMPORTRANGE(""https://docs.google.com/spreadsheets/d/1-uDff_7J0KD5mKrp0Vvzr7lt3OU09vwQwhkpOPPYv2Y/edit?usp=sharing"",""งบพรบ!DJ37"")"),0)</f>
        <v>0</v>
      </c>
      <c r="N271" s="521">
        <f ca="1">IFERROR(__xludf.DUMMYFUNCTION("IMPORTRANGE(""https://docs.google.com/spreadsheets/d/1-uDff_7J0KD5mKrp0Vvzr7lt3OU09vwQwhkpOPPYv2Y/edit?usp=sharing"",""งบพรบ!DL37"")"),0)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IFERROR(__xludf.DUMMYFUNCTION("IMPORTRANGE(""https://docs.google.com/spreadsheets/d/1-uDff_7J0KD5mKrp0Vvzr7lt3OU09vwQwhkpOPPYv2Y/edit?usp=sharing"",""งบพรบ!DH37"")"),0)</f>
        <v>0</v>
      </c>
      <c r="M274" s="521">
        <f ca="1">IFERROR(__xludf.DUMMYFUNCTION("IMPORTRANGE(""https://docs.google.com/spreadsheets/d/1-uDff_7J0KD5mKrp0Vvzr7lt3OU09vwQwhkpOPPYv2Y/edit?usp=sharing"",""งบพรบ!DK37"")"),0)</f>
        <v>0</v>
      </c>
      <c r="N274" s="521">
        <f ca="1">IFERROR(__xludf.DUMMYFUNCTION("IMPORTRANGE(""https://docs.google.com/spreadsheets/d/1-uDff_7J0KD5mKrp0Vvzr7lt3OU09vwQwhkpOPPYv2Y/edit?usp=sharing"",""งบพรบ!DM37"")"),0)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hidden="1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hidden="1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hidden="1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0</v>
      </c>
      <c r="J280" s="629">
        <f>J293</f>
        <v>0</v>
      </c>
      <c r="K280" s="628">
        <f ca="1">IF(I280&gt;0,J280*100/I280,0)</f>
        <v>0</v>
      </c>
      <c r="L280" s="627"/>
      <c r="M280" s="627"/>
      <c r="N280" s="627"/>
      <c r="O280" s="627"/>
      <c r="P280" s="627"/>
    </row>
    <row r="281" spans="1:16" ht="19.5" hidden="1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0</v>
      </c>
      <c r="J281" s="629">
        <f>J292</f>
        <v>0</v>
      </c>
      <c r="K281" s="628">
        <f ca="1">IF(I281&gt;0,J281*100/I281,0)</f>
        <v>0</v>
      </c>
      <c r="L281" s="627"/>
      <c r="M281" s="627"/>
      <c r="N281" s="627"/>
      <c r="O281" s="627"/>
      <c r="P281" s="627"/>
    </row>
    <row r="282" spans="1:16" ht="19.5" hidden="1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0</v>
      </c>
      <c r="M282" s="577">
        <f ca="1">M283+M284</f>
        <v>0</v>
      </c>
      <c r="N282" s="577">
        <f ca="1">N283+N284</f>
        <v>0</v>
      </c>
      <c r="O282" s="577">
        <f ca="1">IF(L282&gt;0,N282*100/L282,0)</f>
        <v>0</v>
      </c>
      <c r="P282" s="577">
        <f ca="1">IF(M282&gt;0,N282*100/M282,0)</f>
        <v>0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hidden="1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0</v>
      </c>
      <c r="M284" s="425">
        <f ca="1">M287+M290</f>
        <v>0</v>
      </c>
      <c r="N284" s="425">
        <f ca="1">N287+N290</f>
        <v>0</v>
      </c>
      <c r="O284" s="425">
        <f ca="1">IF(L284&gt;0,N284*100/L284,0)</f>
        <v>0</v>
      </c>
      <c r="P284" s="425">
        <f ca="1">IF(M284&gt;0,N284*100/M284,0)</f>
        <v>0</v>
      </c>
    </row>
    <row r="285" spans="1:16" ht="18.75" hidden="1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0</v>
      </c>
      <c r="M285" s="425">
        <f ca="1">M286+M287</f>
        <v>0</v>
      </c>
      <c r="N285" s="425">
        <f ca="1">N286+N287</f>
        <v>0</v>
      </c>
      <c r="O285" s="425">
        <f ca="1">IF(L285&gt;0,N285*100/L285,0)</f>
        <v>0</v>
      </c>
      <c r="P285" s="425">
        <f ca="1">IF(M285&gt;0,N285*100/M285,0)</f>
        <v>0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hidden="1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IFERROR(__xludf.DUMMYFUNCTION("IMPORTRANGE(""https://docs.google.com/spreadsheets/d/1-uDff_7J0KD5mKrp0Vvzr7lt3OU09vwQwhkpOPPYv2Y/edit?usp=sharing"",""งบพรบ!DO37"")"),0)</f>
        <v>0</v>
      </c>
      <c r="M287" s="425">
        <f ca="1">IFERROR(__xludf.DUMMYFUNCTION("IMPORTRANGE(""https://docs.google.com/spreadsheets/d/1-uDff_7J0KD5mKrp0Vvzr7lt3OU09vwQwhkpOPPYv2Y/edit?usp=sharing"",""งบพรบ!DT37"")"),0)</f>
        <v>0</v>
      </c>
      <c r="N287" s="425">
        <f ca="1">IFERROR(__xludf.DUMMYFUNCTION("IMPORTRANGE(""https://docs.google.com/spreadsheets/d/1-uDff_7J0KD5mKrp0Vvzr7lt3OU09vwQwhkpOPPYv2Y/edit?usp=sharing"",""งบพรบ!DV37"")"),0)</f>
        <v>0</v>
      </c>
      <c r="O287" s="425">
        <f ca="1">IF(L287&gt;0,N287*100/L287,0)</f>
        <v>0</v>
      </c>
      <c r="P287" s="425">
        <f ca="1">IF(M287&gt;0,N287*100/M287,0)</f>
        <v>0</v>
      </c>
    </row>
    <row r="288" spans="1:16" ht="18.75" hidden="1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hidden="1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IFERROR(__xludf.DUMMYFUNCTION("IMPORTRANGE(""https://docs.google.com/spreadsheets/d/1-uDff_7J0KD5mKrp0Vvzr7lt3OU09vwQwhkpOPPYv2Y/edit?usp=sharing"",""งบพรบ!DR37"")"),0)</f>
        <v>0</v>
      </c>
      <c r="M290" s="425">
        <f ca="1">IFERROR(__xludf.DUMMYFUNCTION("IMPORTRANGE(""https://docs.google.com/spreadsheets/d/1-uDff_7J0KD5mKrp0Vvzr7lt3OU09vwQwhkpOPPYv2Y/edit?usp=sharing"",""งบพรบ!DU37"")"),0)</f>
        <v>0</v>
      </c>
      <c r="N290" s="425">
        <f ca="1">IFERROR(__xludf.DUMMYFUNCTION("IMPORTRANGE(""https://docs.google.com/spreadsheets/d/1-uDff_7J0KD5mKrp0Vvzr7lt3OU09vwQwhkpOPPYv2Y/edit?usp=sharing"",""งบพรบ!DW37"")"),0)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hidden="1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hidden="1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IFERROR(__xludf.DUMMYFUNCTION("IMPORTRANGE(""https://docs.google.com/spreadsheets/d/1eHaY18a8A9IcSdp1K8H6x8fbOy06t2VsZHhMHf-1x7Y/edit?usp=sharing"",""แผน!EE37"")"),0)</f>
        <v>0</v>
      </c>
      <c r="J292" s="595">
        <v>0</v>
      </c>
      <c r="K292" s="621">
        <f ca="1">IF(I292&gt;0,J292*100/I292,0)</f>
        <v>0</v>
      </c>
      <c r="L292" s="525"/>
      <c r="M292" s="525"/>
      <c r="N292" s="525"/>
      <c r="O292" s="525"/>
      <c r="P292" s="525"/>
    </row>
    <row r="293" spans="1:16" ht="19.5" hidden="1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IFERROR(__xludf.DUMMYFUNCTION("IMPORTRANGE(""https://docs.google.com/spreadsheets/d/1eHaY18a8A9IcSdp1K8H6x8fbOy06t2VsZHhMHf-1x7Y/edit?usp=sharing"",""แผน!ED37"")"),0)</f>
        <v>0</v>
      </c>
      <c r="J293" s="625">
        <f>J296</f>
        <v>0</v>
      </c>
      <c r="K293" s="624">
        <f ca="1">IF(I293&gt;0,J293*100/I293,0)</f>
        <v>0</v>
      </c>
      <c r="L293" s="525"/>
      <c r="M293" s="525"/>
      <c r="N293" s="525"/>
      <c r="O293" s="525"/>
      <c r="P293" s="525"/>
    </row>
    <row r="294" spans="1:16" ht="19.5" hidden="1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hidden="1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IFERROR(__xludf.DUMMYFUNCTION("IMPORTRANGE(""https://docs.google.com/spreadsheets/d/1eHaY18a8A9IcSdp1K8H6x8fbOy06t2VsZHhMHf-1x7Y/edit?usp=sharing"",""แผน!ED37"")"),0)</f>
        <v>0</v>
      </c>
      <c r="J295" s="595">
        <v>0</v>
      </c>
      <c r="K295" s="621">
        <f ca="1">IF(I295&gt;0,J295*100/I295,0)</f>
        <v>0</v>
      </c>
      <c r="L295" s="525"/>
      <c r="M295" s="525"/>
      <c r="N295" s="525"/>
      <c r="O295" s="525"/>
      <c r="P295" s="525"/>
    </row>
    <row r="296" spans="1:16" ht="19.5" hidden="1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IFERROR(__xludf.DUMMYFUNCTION("IMPORTRANGE(""https://docs.google.com/spreadsheets/d/1eHaY18a8A9IcSdp1K8H6x8fbOy06t2VsZHhMHf-1x7Y/edit?usp=sharing"",""แผน!ED37"")"),0)</f>
        <v>0</v>
      </c>
      <c r="J296" s="595">
        <v>0</v>
      </c>
      <c r="K296" s="621">
        <f ca="1">IF(I296&gt;0,J296*100/I296,0)</f>
        <v>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hidden="1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hidden="1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hidden="1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0</v>
      </c>
      <c r="J302" s="598">
        <f>J314</f>
        <v>0</v>
      </c>
      <c r="K302" s="597">
        <f ca="1">IF(I302&gt;0,J302*100/I302,0)</f>
        <v>0</v>
      </c>
      <c r="L302" s="580"/>
      <c r="M302" s="580"/>
      <c r="N302" s="580"/>
      <c r="O302" s="580"/>
      <c r="P302" s="580"/>
    </row>
    <row r="303" spans="1:16" ht="19.5" hidden="1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0</v>
      </c>
      <c r="M303" s="577">
        <f ca="1">M304+M305</f>
        <v>0</v>
      </c>
      <c r="N303" s="577">
        <f ca="1">N304+N305</f>
        <v>0</v>
      </c>
      <c r="O303" s="577">
        <f ca="1">IF(L303&gt;0,N303*100/L303,0)</f>
        <v>0</v>
      </c>
      <c r="P303" s="577">
        <f ca="1">IF(M303&gt;0,N303*100/M303,0)</f>
        <v>0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hidden="1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0</v>
      </c>
      <c r="M305" s="425">
        <f ca="1">M308+M311</f>
        <v>0</v>
      </c>
      <c r="N305" s="425">
        <f ca="1">N308+N311</f>
        <v>0</v>
      </c>
      <c r="O305" s="425">
        <f ca="1">IF(L305&gt;0,N305*100/L305,0)</f>
        <v>0</v>
      </c>
      <c r="P305" s="425">
        <f ca="1">IF(M305&gt;0,N305*100/M305,0)</f>
        <v>0</v>
      </c>
    </row>
    <row r="306" spans="1:16" ht="18.75" hidden="1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0</v>
      </c>
      <c r="M306" s="425">
        <f ca="1">M307+M308</f>
        <v>0</v>
      </c>
      <c r="N306" s="425">
        <f ca="1">N307+N308</f>
        <v>0</v>
      </c>
      <c r="O306" s="425">
        <f ca="1">IF(L306&gt;0,N306*100/L306,0)</f>
        <v>0</v>
      </c>
      <c r="P306" s="425">
        <f ca="1">IF(M306&gt;0,N306*100/M306,0)</f>
        <v>0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hidden="1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IFERROR(__xludf.DUMMYFUNCTION("IMPORTRANGE(""https://docs.google.com/spreadsheets/d/1-uDff_7J0KD5mKrp0Vvzr7lt3OU09vwQwhkpOPPYv2Y/edit?usp=sharing"",""งบพรบ!DY37"")"),0)</f>
        <v>0</v>
      </c>
      <c r="M308" s="425">
        <f ca="1">IFERROR(__xludf.DUMMYFUNCTION("IMPORTRANGE(""https://docs.google.com/spreadsheets/d/1-uDff_7J0KD5mKrp0Vvzr7lt3OU09vwQwhkpOPPYv2Y/edit?usp=sharing"",""งบพรบ!ED37"")"),0)</f>
        <v>0</v>
      </c>
      <c r="N308" s="425">
        <f ca="1">IFERROR(__xludf.DUMMYFUNCTION("IMPORTRANGE(""https://docs.google.com/spreadsheets/d/1-uDff_7J0KD5mKrp0Vvzr7lt3OU09vwQwhkpOPPYv2Y/edit?usp=sharing"",""งบพรบ!EF37"")"),0)</f>
        <v>0</v>
      </c>
      <c r="O308" s="425">
        <f ca="1">IF(L308&gt;0,N308*100/L308,0)</f>
        <v>0</v>
      </c>
      <c r="P308" s="425">
        <f ca="1">IF(M308&gt;0,N308*100/M308,0)</f>
        <v>0</v>
      </c>
    </row>
    <row r="309" spans="1:16" ht="18.75" hidden="1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hidden="1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IFERROR(__xludf.DUMMYFUNCTION("IMPORTRANGE(""https://docs.google.com/spreadsheets/d/1-uDff_7J0KD5mKrp0Vvzr7lt3OU09vwQwhkpOPPYv2Y/edit?usp=sharing"",""งบพรบ!EB37"")"),0)</f>
        <v>0</v>
      </c>
      <c r="M311" s="425">
        <f ca="1">IFERROR(__xludf.DUMMYFUNCTION("IMPORTRANGE(""https://docs.google.com/spreadsheets/d/1-uDff_7J0KD5mKrp0Vvzr7lt3OU09vwQwhkpOPPYv2Y/edit?usp=sharing"",""งบพรบ!EE37"")"),0)</f>
        <v>0</v>
      </c>
      <c r="N311" s="425">
        <f ca="1">IFERROR(__xludf.DUMMYFUNCTION("IMPORTRANGE(""https://docs.google.com/spreadsheets/d/1-uDff_7J0KD5mKrp0Vvzr7lt3OU09vwQwhkpOPPYv2Y/edit?usp=sharing"",""งบพรบ!EG37"")"),0)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hidden="1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hidden="1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0</v>
      </c>
      <c r="K313" s="428"/>
      <c r="L313" s="428"/>
      <c r="M313" s="428"/>
      <c r="N313" s="428"/>
      <c r="O313" s="428"/>
      <c r="P313" s="428"/>
    </row>
    <row r="314" spans="1:16" ht="18.75" hidden="1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IFERROR(__xludf.DUMMYFUNCTION("IMPORTRANGE(""https://docs.google.com/spreadsheets/d/1eHaY18a8A9IcSdp1K8H6x8fbOy06t2VsZHhMHf-1x7Y/edit?usp=sharing"",""แผน!EF37"")"),0)</f>
        <v>0</v>
      </c>
      <c r="J314" s="595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hidden="1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IFERROR(__xludf.DUMMYFUNCTION("IMPORTRANGE(""https://docs.google.com/spreadsheets/d/1eHaY18a8A9IcSdp1K8H6x8fbOy06t2VsZHhMHf-1x7Y/edit?usp=sharing"",""แผน!EG37"")"),0)</f>
        <v>0</v>
      </c>
      <c r="J315" s="595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hidden="1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IFERROR(__xludf.DUMMYFUNCTION("IMPORTRANGE(""https://docs.google.com/spreadsheets/d/1eHaY18a8A9IcSdp1K8H6x8fbOy06t2VsZHhMHf-1x7Y/edit?usp=sharing"",""แผน!EH37"")"),0)</f>
        <v>0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199">
        <f ca="1">IFERROR(__xludf.DUMMYFUNCTION("IMPORTRANGE(""https://docs.google.com/spreadsheets/d/1eHaY18a8A9IcSdp1K8H6x8fbOy06t2VsZHhMHf-1x7Y/edit?usp=sharing"",""แผน!EI37"")"),0)</f>
        <v>0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hidden="1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0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hidden="1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0</v>
      </c>
      <c r="M320" s="577">
        <f ca="1">M321+M322</f>
        <v>0</v>
      </c>
      <c r="N320" s="577">
        <f ca="1">N321+N322</f>
        <v>0</v>
      </c>
      <c r="O320" s="577">
        <f ca="1">IF(L320&gt;0,N320*100/L320,0)</f>
        <v>0</v>
      </c>
      <c r="P320" s="577">
        <f ca="1">IF(M320&gt;0,N320*100/M320,0)</f>
        <v>0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hidden="1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hidden="1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IFERROR(__xludf.DUMMYFUNCTION("IMPORTRANGE(""https://docs.google.com/spreadsheets/d/1-uDff_7J0KD5mKrp0Vvzr7lt3OU09vwQwhkpOPPYv2Y/edit?usp=sharing"",""งบพรบ!EI37"")"),0)</f>
        <v>0</v>
      </c>
      <c r="M325" s="425">
        <f ca="1">IFERROR(__xludf.DUMMYFUNCTION("IMPORTRANGE(""https://docs.google.com/spreadsheets/d/1-uDff_7J0KD5mKrp0Vvzr7lt3OU09vwQwhkpOPPYv2Y/edit?usp=sharing"",""งบพรบ!EN37"")"),0)</f>
        <v>0</v>
      </c>
      <c r="N325" s="425">
        <f ca="1">IFERROR(__xludf.DUMMYFUNCTION("IMPORTRANGE(""https://docs.google.com/spreadsheets/d/1-uDff_7J0KD5mKrp0Vvzr7lt3OU09vwQwhkpOPPYv2Y/edit?usp=sharing"",""งบพรบ!EP37"")"),0)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hidden="1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IFERROR(__xludf.DUMMYFUNCTION("IMPORTRANGE(""https://docs.google.com/spreadsheets/d/1-uDff_7J0KD5mKrp0Vvzr7lt3OU09vwQwhkpOPPYv2Y/edit?usp=sharing"",""งบพรบ!EL37"")"),0)</f>
        <v>0</v>
      </c>
      <c r="M328" s="425">
        <f ca="1">IFERROR(__xludf.DUMMYFUNCTION("IMPORTRANGE(""https://docs.google.com/spreadsheets/d/1-uDff_7J0KD5mKrp0Vvzr7lt3OU09vwQwhkpOPPYv2Y/edit?usp=sharing"",""งบพรบ!EO37"")"),0)</f>
        <v>0</v>
      </c>
      <c r="N328" s="425">
        <f ca="1">IFERROR(__xludf.DUMMYFUNCTION("IMPORTRANGE(""https://docs.google.com/spreadsheets/d/1-uDff_7J0KD5mKrp0Vvzr7lt3OU09vwQwhkpOPPYv2Y/edit?usp=sharing"",""งบพรบ!EQ37"")"),0)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hidden="1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IFERROR(__xludf.DUMMYFUNCTION("IMPORTRANGE(""https://docs.google.com/spreadsheets/d/1eHaY18a8A9IcSdp1K8H6x8fbOy06t2VsZHhMHf-1x7Y/edit?usp=sharing"",""แผน!EJ37"")"),0)</f>
        <v>0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2400</v>
      </c>
      <c r="J332" s="402">
        <f ca="1">J344+J347+J348+J349+J353</f>
        <v>2359</v>
      </c>
      <c r="K332" s="403">
        <f ca="1">IF(I332&gt;0,J332*100/I332,0)</f>
        <v>98.291666666666671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113000</v>
      </c>
      <c r="M333" s="577">
        <f ca="1">M334+M335</f>
        <v>88150</v>
      </c>
      <c r="N333" s="577">
        <f ca="1">N334+N335</f>
        <v>24000</v>
      </c>
      <c r="O333" s="577">
        <f ca="1">IF(L333&gt;0,N333*100/L333,0)</f>
        <v>21.238938053097346</v>
      </c>
      <c r="P333" s="577">
        <f ca="1">IF(M333&gt;0,N333*100/M333,0)</f>
        <v>27.226318774815656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113000</v>
      </c>
      <c r="M335" s="425">
        <f ca="1">M338+M341</f>
        <v>88150</v>
      </c>
      <c r="N335" s="425">
        <f ca="1">N338+N341</f>
        <v>24000</v>
      </c>
      <c r="O335" s="425">
        <f ca="1">IF(L335&gt;0,N335*100/L335,0)</f>
        <v>21.238938053097346</v>
      </c>
      <c r="P335" s="425">
        <f ca="1">IF(M335&gt;0,N335*100/M335,0)</f>
        <v>27.226318774815656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113000</v>
      </c>
      <c r="M336" s="425">
        <f ca="1">M337+M338</f>
        <v>88150</v>
      </c>
      <c r="N336" s="425">
        <f ca="1">N337+N338</f>
        <v>24000</v>
      </c>
      <c r="O336" s="425">
        <f ca="1">IF(L336&gt;0,N336*100/L336,0)</f>
        <v>21.238938053097346</v>
      </c>
      <c r="P336" s="425">
        <f ca="1">IF(M336&gt;0,N336*100/M336,0)</f>
        <v>27.226318774815656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IFERROR(__xludf.DUMMYFUNCTION("IMPORTRANGE(""https://docs.google.com/spreadsheets/d/1-uDff_7J0KD5mKrp0Vvzr7lt3OU09vwQwhkpOPPYv2Y/edit?usp=sharing"",""งบพรบ!ES37"")"),113000)</f>
        <v>113000</v>
      </c>
      <c r="M338" s="425">
        <f ca="1">IFERROR(__xludf.DUMMYFUNCTION("IMPORTRANGE(""https://docs.google.com/spreadsheets/d/1-uDff_7J0KD5mKrp0Vvzr7lt3OU09vwQwhkpOPPYv2Y/edit?usp=sharing"",""งบพรบ!EX37"")"),88150)</f>
        <v>88150</v>
      </c>
      <c r="N338" s="425">
        <f ca="1">IFERROR(__xludf.DUMMYFUNCTION("IMPORTRANGE(""https://docs.google.com/spreadsheets/d/1-uDff_7J0KD5mKrp0Vvzr7lt3OU09vwQwhkpOPPYv2Y/edit?usp=sharing"",""งบพรบ!EZ37"")"),24000)</f>
        <v>24000</v>
      </c>
      <c r="O338" s="425">
        <f ca="1">IF(L338&gt;0,N338*100/L338,0)</f>
        <v>21.238938053097346</v>
      </c>
      <c r="P338" s="425">
        <f ca="1">IF(M338&gt;0,N338*100/M338,0)</f>
        <v>27.226318774815656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IFERROR(__xludf.DUMMYFUNCTION("IMPORTRANGE(""https://docs.google.com/spreadsheets/d/1-uDff_7J0KD5mKrp0Vvzr7lt3OU09vwQwhkpOPPYv2Y/edit?usp=sharing"",""งบพรบ!EV37"")"),0)</f>
        <v>0</v>
      </c>
      <c r="M341" s="425">
        <f ca="1">IFERROR(__xludf.DUMMYFUNCTION("IMPORTRANGE(""https://docs.google.com/spreadsheets/d/1-uDff_7J0KD5mKrp0Vvzr7lt3OU09vwQwhkpOPPYv2Y/edit?usp=sharing"",""งบพรบ!EY37"")"),0)</f>
        <v>0</v>
      </c>
      <c r="N341" s="425">
        <f ca="1">IFERROR(__xludf.DUMMYFUNCTION("IMPORTRANGE(""https://docs.google.com/spreadsheets/d/1-uDff_7J0KD5mKrp0Vvzr7lt3OU09vwQwhkpOPPYv2Y/edit?usp=sharing"",""งบพรบ!FA37"")"),0)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777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IFERROR(__xludf.DUMMYFUNCTION("IMPORTRANGE(""https://docs.google.com/spreadsheets/d/1eHaY18a8A9IcSdp1K8H6x8fbOy06t2VsZHhMHf-1x7Y/edit?usp=sharing"",""แผน!EK37"")"),2400)</f>
        <v>2400</v>
      </c>
      <c r="J344" s="424">
        <f ca="1">IFERROR(__xludf.DUMMYFUNCTION("IMPORTRANGE(""https://docs.google.com/spreadsheets/d/1awYsYK3VOup2i3Pq_Yjnu8DRu_mYwSBnCR2QPthd0rU/edit?usp=sharing"",""ศูนย์ยกเว้นโฉนด!D37"")"),777)</f>
        <v>777</v>
      </c>
      <c r="K344" s="425">
        <f ca="1">IF(I344&gt;0,J344*100/I344,0)</f>
        <v>32.375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IFERROR(__xludf.DUMMYFUNCTION("IMPORTRANGE(""https://docs.google.com/spreadsheets/d/1eHaY18a8A9IcSdp1K8H6x8fbOy06t2VsZHhMHf-1x7Y/edit?usp=sharing"",""แผน!EL37"")"),5)</f>
        <v>5</v>
      </c>
      <c r="J346" s="424">
        <f ca="1">IFERROR(__xludf.DUMMYFUNCTION("IMPORTRANGE(""https://docs.google.com/spreadsheets/d/1awYsYK3VOup2i3Pq_Yjnu8DRu_mYwSBnCR2QPthd0rU/edit?usp=sharing"",""ศูนย์รวม!E37"")"),1)</f>
        <v>1</v>
      </c>
      <c r="K346" s="425">
        <f ca="1">IF(I346&gt;0,J346*100/I346,0)</f>
        <v>20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IFERROR(__xludf.DUMMYFUNCTION("IMPORTRANGE(""https://docs.google.com/spreadsheets/d/1awYsYK3VOup2i3Pq_Yjnu8DRu_mYwSBnCR2QPthd0rU/edit?usp=sharing"",""ศูนย์ยกเว้นโฉนด!F37"")"),0)</f>
        <v>0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IFERROR(__xludf.DUMMYFUNCTION("IMPORTRANGE(""https://docs.google.com/spreadsheets/d/1awYsYK3VOup2i3Pq_Yjnu8DRu_mYwSBnCR2QPthd0rU/edit?usp=sharing"",""ศูนย์ยกเว้นโฉนด!G37"")"),0)</f>
        <v>0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IFERROR(__xludf.DUMMYFUNCTION("IMPORTRANGE(""https://docs.google.com/spreadsheets/d/1awYsYK3VOup2i3Pq_Yjnu8DRu_mYwSBnCR2QPthd0rU/edit?usp=sharing"",""ศูนย์ยกเว้นโฉนด!H37"")"),0)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2326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IFERROR(__xludf.DUMMYFUNCTION("IMPORTRANGE(""https://docs.google.com/spreadsheets/d/1awYsYK3VOup2i3Pq_Yjnu8DRu_mYwSBnCR2QPthd0rU/edit?usp=sharing"",""โฉนดM3!G37"")"),744)</f>
        <v>744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IFERROR(__xludf.DUMMYFUNCTION("IMPORTRANGE(""https://docs.google.com/spreadsheets/d/1awYsYK3VOup2i3Pq_Yjnu8DRu_mYwSBnCR2QPthd0rU/edit?usp=sharing"",""โฉนดM3!H37"")"),1582)</f>
        <v>1582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773740</v>
      </c>
      <c r="M356" s="577">
        <f ca="1">M357+M358</f>
        <v>729795</v>
      </c>
      <c r="N356" s="577">
        <f ca="1">N357+N358</f>
        <v>200487</v>
      </c>
      <c r="O356" s="577">
        <f ca="1">IF(L356&gt;0,N356*100/L356,0)</f>
        <v>25.911417271951819</v>
      </c>
      <c r="P356" s="577">
        <f ca="1">IF(M356&gt;0,N356*100/M356,0)</f>
        <v>27.471687254640003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773740</v>
      </c>
      <c r="M358" s="425">
        <f ca="1">M361+M364</f>
        <v>729795</v>
      </c>
      <c r="N358" s="425">
        <f ca="1">N361+N364</f>
        <v>200487</v>
      </c>
      <c r="O358" s="425">
        <f ca="1">IF(L358&gt;0,N358*100/L358,0)</f>
        <v>25.911417271951819</v>
      </c>
      <c r="P358" s="425">
        <f ca="1">IF(M358&gt;0,N358*100/M358,0)</f>
        <v>27.471687254640003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773740</v>
      </c>
      <c r="M359" s="425">
        <f ca="1">M360+M361</f>
        <v>729795</v>
      </c>
      <c r="N359" s="425">
        <f ca="1">N360+N361</f>
        <v>200487</v>
      </c>
      <c r="O359" s="425">
        <f ca="1">IF(L359&gt;0,N359*100/L359,0)</f>
        <v>25.911417271951819</v>
      </c>
      <c r="P359" s="425">
        <f ca="1">IF(M359&gt;0,N359*100/M359,0)</f>
        <v>27.471687254640003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IFERROR(__xludf.DUMMYFUNCTION("IMPORTRANGE(""https://docs.google.com/spreadsheets/d/1-uDff_7J0KD5mKrp0Vvzr7lt3OU09vwQwhkpOPPYv2Y/edit?usp=sharing"",""งบพรบ!FC37"")"),773740)</f>
        <v>773740</v>
      </c>
      <c r="M361" s="425">
        <f ca="1">IFERROR(__xludf.DUMMYFUNCTION("IMPORTRANGE(""https://docs.google.com/spreadsheets/d/1-uDff_7J0KD5mKrp0Vvzr7lt3OU09vwQwhkpOPPYv2Y/edit?usp=sharing"",""งบพรบ!FH37"")"),729795)</f>
        <v>729795</v>
      </c>
      <c r="N361" s="425">
        <f ca="1">IFERROR(__xludf.DUMMYFUNCTION("IMPORTRANGE(""https://docs.google.com/spreadsheets/d/1-uDff_7J0KD5mKrp0Vvzr7lt3OU09vwQwhkpOPPYv2Y/edit?usp=sharing"",""งบพรบ!FJ37"")"),200487)</f>
        <v>200487</v>
      </c>
      <c r="O361" s="425">
        <f ca="1">IF(L361&gt;0,N361*100/L361,0)</f>
        <v>25.911417271951819</v>
      </c>
      <c r="P361" s="425">
        <f ca="1">IF(M361&gt;0,N361*100/M361,0)</f>
        <v>27.471687254640003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IFERROR(__xludf.DUMMYFUNCTION("IMPORTRANGE(""https://docs.google.com/spreadsheets/d/1-uDff_7J0KD5mKrp0Vvzr7lt3OU09vwQwhkpOPPYv2Y/edit?usp=sharing"",""งบพรบ!FF37"")"),0)</f>
        <v>0</v>
      </c>
      <c r="M364" s="425">
        <f ca="1">IFERROR(__xludf.DUMMYFUNCTION("IMPORTRANGE(""https://docs.google.com/spreadsheets/d/1-uDff_7J0KD5mKrp0Vvzr7lt3OU09vwQwhkpOPPYv2Y/edit?usp=sharing"",""งบพรบ!FI37"")"),0)</f>
        <v>0</v>
      </c>
      <c r="N364" s="425">
        <f ca="1">IFERROR(__xludf.DUMMYFUNCTION("IMPORTRANGE(""https://docs.google.com/spreadsheets/d/1-uDff_7J0KD5mKrp0Vvzr7lt3OU09vwQwhkpOPPYv2Y/edit?usp=sharing"",""งบพรบ!FK37"")"),0)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535</v>
      </c>
      <c r="J365" s="438">
        <f ca="1">J371</f>
        <v>0</v>
      </c>
      <c r="K365" s="439">
        <f ca="1">IF(I365&gt;0,J365*100/I365,0)</f>
        <v>0</v>
      </c>
      <c r="L365" s="571"/>
      <c r="M365" s="571"/>
      <c r="N365" s="571"/>
      <c r="O365" s="571"/>
      <c r="P365" s="571"/>
    </row>
    <row r="366" spans="1:16" ht="19.5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IFERROR(__xludf.DUMMYFUNCTION("IMPORTRANGE(""https://docs.google.com/spreadsheets/d/1tdoBKaGub7dwA3U6UFTqxio9LNnvDCQjHKmttSEBsFQ/edit?usp=sharing"",""จัดที่ดิน!AB37"")"),59)</f>
        <v>59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IFERROR(__xludf.DUMMYFUNCTION("IMPORTRANGE(""https://docs.google.com/spreadsheets/d/1eHaY18a8A9IcSdp1K8H6x8fbOy06t2VsZHhMHf-1x7Y/edit?usp=sharing"",""แผน!EW37"")"),4310)</f>
        <v>4310</v>
      </c>
      <c r="J368" s="565">
        <f ca="1">IFERROR(__xludf.DUMMYFUNCTION("IMPORTRANGE(""https://docs.google.com/spreadsheets/d/1tdoBKaGub7dwA3U6UFTqxio9LNnvDCQjHKmttSEBsFQ/edit?usp=sharing"",""จัดที่ดิน!AC37"")"),532.45)</f>
        <v>532.45000000000005</v>
      </c>
      <c r="K368" s="425">
        <f ca="1">IF(I368&gt;0,J368*100/I368,0)</f>
        <v>12.353828306264504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IFERROR(__xludf.DUMMYFUNCTION("IMPORTRANGE(""https://docs.google.com/spreadsheets/d/1eHaY18a8A9IcSdp1K8H6x8fbOy06t2VsZHhMHf-1x7Y/edit?usp=sharing"",""แผน!EX37"")"),817)</f>
        <v>817</v>
      </c>
      <c r="J369" s="424">
        <f ca="1">IFERROR(__xludf.DUMMYFUNCTION("IMPORTRANGE(""https://docs.google.com/spreadsheets/d/1tdoBKaGub7dwA3U6UFTqxio9LNnvDCQjHKmttSEBsFQ/edit?usp=sharing"",""จัดที่ดิน!AD37"")"),33)</f>
        <v>33</v>
      </c>
      <c r="K369" s="425">
        <f ca="1">IF(I369&gt;0,J369*100/I369,0)</f>
        <v>4.0391676866585069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IFERROR(__xludf.DUMMYFUNCTION("IMPORTRANGE(""https://docs.google.com/spreadsheets/d/1tdoBKaGub7dwA3U6UFTqxio9LNnvDCQjHKmttSEBsFQ/edit?usp=sharing"",""จัดที่ดิน!AE37"")"),692.75)</f>
        <v>692.75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IFERROR(__xludf.DUMMYFUNCTION("IMPORTRANGE(""https://docs.google.com/spreadsheets/d/1eHaY18a8A9IcSdp1K8H6x8fbOy06t2VsZHhMHf-1x7Y/edit?usp=sharing"",""แผน!EY37"")"),535)</f>
        <v>535</v>
      </c>
      <c r="J371" s="424">
        <f ca="1">IFERROR(__xludf.DUMMYFUNCTION("IMPORTRANGE(""https://docs.google.com/spreadsheets/d/1tdoBKaGub7dwA3U6UFTqxio9LNnvDCQjHKmttSEBsFQ/edit?usp=sharing"",""จัดที่ดิน!AF37"")"),0)</f>
        <v>0</v>
      </c>
      <c r="K371" s="425">
        <f ca="1">IF(I371&gt;0,J371*100/I371,0)</f>
        <v>0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IFERROR(__xludf.DUMMYFUNCTION("IMPORTRANGE(""https://docs.google.com/spreadsheets/d/1tdoBKaGub7dwA3U6UFTqxio9LNnvDCQjHKmttSEBsFQ/edit?usp=sharing"",""จัดที่ดิน!AG37"")"),0)</f>
        <v>0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IFERROR(__xludf.DUMMYFUNCTION("IMPORTRANGE(""https://docs.google.com/spreadsheets/d/1-uDff_7J0KD5mKrp0Vvzr7lt3OU09vwQwhkpOPPYv2Y/edit?usp=sharing"",""งบพรบ!FM37"")"),0)</f>
        <v>0</v>
      </c>
      <c r="M382" s="521">
        <f ca="1">IFERROR(__xludf.DUMMYFUNCTION("IMPORTRANGE(""https://docs.google.com/spreadsheets/d/1-uDff_7J0KD5mKrp0Vvzr7lt3OU09vwQwhkpOPPYv2Y/edit?usp=sharing"",""งบพรบ!FR37"")"),0)</f>
        <v>0</v>
      </c>
      <c r="N382" s="521">
        <f ca="1">IFERROR(__xludf.DUMMYFUNCTION("IMPORTRANGE(""https://docs.google.com/spreadsheets/d/1-uDff_7J0KD5mKrp0Vvzr7lt3OU09vwQwhkpOPPYv2Y/edit?usp=sharing"",""งบพรบ!FT37"")"),0)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IFERROR(__xludf.DUMMYFUNCTION("IMPORTRANGE(""https://docs.google.com/spreadsheets/d/1-uDff_7J0KD5mKrp0Vvzr7lt3OU09vwQwhkpOPPYv2Y/edit?usp=sharing"",""งบพรบ!FP37"")"),0)</f>
        <v>0</v>
      </c>
      <c r="M385" s="521">
        <f ca="1">IFERROR(__xludf.DUMMYFUNCTION("IMPORTRANGE(""https://docs.google.com/spreadsheets/d/1-uDff_7J0KD5mKrp0Vvzr7lt3OU09vwQwhkpOPPYv2Y/edit?usp=sharing"",""งบพรบ!FS37"")"),0)</f>
        <v>0</v>
      </c>
      <c r="N385" s="521">
        <f ca="1">IFERROR(__xludf.DUMMYFUNCTION("IMPORTRANGE(""https://docs.google.com/spreadsheets/d/1-uDff_7J0KD5mKrp0Vvzr7lt3OU09vwQwhkpOPPYv2Y/edit?usp=sharing"",""งบพรบ!FU37"")"),0)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CE742-1B98-4AA7-871E-09CB4720DFD2}">
  <sheetPr>
    <outlinePr summaryBelow="0" summaryRight="0"/>
    <pageSetUpPr fitToPage="1"/>
  </sheetPr>
  <dimension ref="A1:P391"/>
  <sheetViews>
    <sheetView view="pageBreakPreview" zoomScale="60" zoomScaleNormal="70" workbookViewId="0">
      <pane xSplit="8" ySplit="17" topLeftCell="I18" activePane="bottomRight" state="frozen"/>
      <selection activeCell="H27" sqref="H27"/>
      <selection pane="topRight" activeCell="H27" sqref="H27"/>
      <selection pane="bottomLeft" activeCell="H27" sqref="H27"/>
      <selection pane="bottomRight" activeCell="H27" sqref="H27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4.42578125" bestFit="1" customWidth="1"/>
    <col min="10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869" t="s">
        <v>0</v>
      </c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  <c r="O1" s="869"/>
      <c r="P1" s="869"/>
    </row>
    <row r="2" spans="1:16" ht="19.5" x14ac:dyDescent="0.3">
      <c r="A2" s="869" t="s">
        <v>166</v>
      </c>
      <c r="B2" s="869"/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  <c r="P2" s="869"/>
    </row>
    <row r="3" spans="1:16" ht="19.5" x14ac:dyDescent="0.3">
      <c r="A3" s="869"/>
      <c r="B3" s="869"/>
      <c r="C3" s="869"/>
      <c r="D3" s="869"/>
      <c r="E3" s="869"/>
      <c r="F3" s="869"/>
      <c r="G3" s="869"/>
      <c r="H3" s="869"/>
      <c r="I3" s="869"/>
      <c r="J3" s="869"/>
      <c r="K3" s="869"/>
      <c r="L3" s="869"/>
      <c r="M3" s="869"/>
      <c r="N3" s="869"/>
      <c r="O3" s="869"/>
      <c r="P3" s="869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5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493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2923359</v>
      </c>
      <c r="M18" s="704">
        <f ca="1">M19+M20</f>
        <v>2518137</v>
      </c>
      <c r="N18" s="704">
        <f ca="1">N19+N20</f>
        <v>858547.04999999993</v>
      </c>
      <c r="O18" s="704">
        <f ca="1">IF(L18&gt;0,N18*100/L18,0)</f>
        <v>29.368512385923179</v>
      </c>
      <c r="P18" s="704">
        <f ca="1">IF(M18&gt;0,N18*100/M18,0)</f>
        <v>34.094532982121308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2923359</v>
      </c>
      <c r="M20" s="817">
        <f ca="1">M23+M26</f>
        <v>2518137</v>
      </c>
      <c r="N20" s="817">
        <f ca="1">N23+N26</f>
        <v>858547.04999999993</v>
      </c>
      <c r="O20" s="817">
        <f ca="1">IF(L20&gt;0,N20*100/L20,0)</f>
        <v>29.368512385923179</v>
      </c>
      <c r="P20" s="817">
        <f ca="1">IF(M20&gt;0,N20*100/M20,0)</f>
        <v>34.094532982121308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2923359</v>
      </c>
      <c r="M21" s="425">
        <f ca="1">M22+M23</f>
        <v>2518137</v>
      </c>
      <c r="N21" s="425">
        <f ca="1">N22+N23</f>
        <v>858547.04999999993</v>
      </c>
      <c r="O21" s="425">
        <f ca="1">IF(L21&gt;0,N21*100/L21,0)</f>
        <v>29.368512385923179</v>
      </c>
      <c r="P21" s="425">
        <f ca="1">IF(M21&gt;0,N21*100/M21,0)</f>
        <v>34.094532982121308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2923359</v>
      </c>
      <c r="M23" s="425">
        <f ca="1">M49+M64+M77+M99+M130+M144+M162+M191+M178+M271+M287+M308+M325+M338+M361+M382</f>
        <v>2518137</v>
      </c>
      <c r="N23" s="425">
        <f ca="1">N49+N64+N77+N99+N130+N144+N162+N191+N178+N271+N287+N308+N325+N338+N361+N382</f>
        <v>858547.04999999993</v>
      </c>
      <c r="O23" s="425">
        <f ca="1">IF(L23&gt;0,N23*100/L23,0)</f>
        <v>29.368512385923179</v>
      </c>
      <c r="P23" s="425">
        <f ca="1">IF(M23&gt;0,N23*100/M23,0)</f>
        <v>34.094532982121308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2.75" hidden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2923359</v>
      </c>
      <c r="M40" s="809">
        <f ca="1">M44+M59+M72+M94+M125+M139+M157+M173+M186+M266+M282+M303+M320+M333+M356</f>
        <v>2518137</v>
      </c>
      <c r="N40" s="809">
        <f ca="1">N44+N59+N72+N94+N125+N139+N157+N173+N186+N266+N282+N303+N320+N333+N356</f>
        <v>858547.04999999993</v>
      </c>
      <c r="O40" s="809">
        <f ca="1">IF(L40&gt;0,N40*100/L40,0)</f>
        <v>29.368512385923179</v>
      </c>
      <c r="P40" s="809">
        <f ca="1">IF(M40&gt;0,N40*100/M40,0)</f>
        <v>34.094532982121308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527004</v>
      </c>
      <c r="M44" s="794">
        <f ca="1">M45+M46</f>
        <v>531582</v>
      </c>
      <c r="N44" s="794">
        <f ca="1">N45+N46</f>
        <v>203674</v>
      </c>
      <c r="O44" s="794">
        <f ca="1">IF(L44&gt;0,N44*100/L44,0)</f>
        <v>38.647524496967762</v>
      </c>
      <c r="P44" s="794">
        <f ca="1">IF(M44&gt;0,N44*100/M44,0)</f>
        <v>38.314690866131663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527004</v>
      </c>
      <c r="M46" s="783">
        <f ca="1">M49+M52</f>
        <v>531582</v>
      </c>
      <c r="N46" s="783">
        <f ca="1">N49+N52</f>
        <v>203674</v>
      </c>
      <c r="O46" s="783">
        <f ca="1">IF(L46&gt;0,N46*100/L46,0)</f>
        <v>38.647524496967762</v>
      </c>
      <c r="P46" s="783">
        <f ca="1">IF(M46&gt;0,N46*100/M46,0)</f>
        <v>38.314690866131663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527004</v>
      </c>
      <c r="M47" s="425">
        <f ca="1">M48+M49</f>
        <v>531582</v>
      </c>
      <c r="N47" s="425">
        <f ca="1">N48+N49</f>
        <v>203674</v>
      </c>
      <c r="O47" s="425">
        <f ca="1">IF(L47&gt;0,N47*100/L47,0)</f>
        <v>38.647524496967762</v>
      </c>
      <c r="P47" s="425">
        <f ca="1">IF(M47&gt;0,N47*100/M47,0)</f>
        <v>38.314690866131663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IFERROR(__xludf.DUMMYFUNCTION("IMPORTRANGE(""https://docs.google.com/spreadsheets/d/1-uDff_7J0KD5mKrp0Vvzr7lt3OU09vwQwhkpOPPYv2Y/edit?usp=sharing"",""งบพรบ!P38"")"),527004)</f>
        <v>527004</v>
      </c>
      <c r="M49" s="425">
        <f ca="1">IFERROR(__xludf.DUMMYFUNCTION("IMPORTRANGE(""https://docs.google.com/spreadsheets/d/1-uDff_7J0KD5mKrp0Vvzr7lt3OU09vwQwhkpOPPYv2Y/edit?usp=sharing"",""งบพรบ!V38"")"),531582)</f>
        <v>531582</v>
      </c>
      <c r="N49" s="425">
        <f ca="1">IFERROR(__xludf.DUMMYFUNCTION("IMPORTRANGE(""https://docs.google.com/spreadsheets/d/1-uDff_7J0KD5mKrp0Vvzr7lt3OU09vwQwhkpOPPYv2Y/edit?usp=sharing"",""งบพรบ!Y38"")"),203674)</f>
        <v>203674</v>
      </c>
      <c r="O49" s="425">
        <f ca="1">IF(L49&gt;0,N49*100/L49,0)</f>
        <v>38.647524496967762</v>
      </c>
      <c r="P49" s="425">
        <f ca="1">IF(M49&gt;0,N49*100/M49,0)</f>
        <v>38.314690866131663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IFERROR(__xludf.DUMMYFUNCTION("IMPORTRANGE(""https://docs.google.com/spreadsheets/d/1-uDff_7J0KD5mKrp0Vvzr7lt3OU09vwQwhkpOPPYv2Y/edit?usp=sharing"",""งบพรบ!S38"")"),0)</f>
        <v>0</v>
      </c>
      <c r="M52" s="425">
        <f ca="1">IFERROR(__xludf.DUMMYFUNCTION("IMPORTRANGE(""https://docs.google.com/spreadsheets/d/1-uDff_7J0KD5mKrp0Vvzr7lt3OU09vwQwhkpOPPYv2Y/edit?usp=sharing"",""งบพรบ!W38"")"),0)</f>
        <v>0</v>
      </c>
      <c r="N52" s="425">
        <f ca="1">IFERROR(__xludf.DUMMYFUNCTION("IMPORTRANGE(""https://docs.google.com/spreadsheets/d/1-uDff_7J0KD5mKrp0Vvzr7lt3OU09vwQwhkpOPPYv2Y/edit?usp=sharing"",""งบพรบ!Z38"")"),0)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492700</v>
      </c>
      <c r="M59" s="763">
        <f ca="1">M60+M61</f>
        <v>371650</v>
      </c>
      <c r="N59" s="763">
        <f ca="1">N60+N61</f>
        <v>185503.22</v>
      </c>
      <c r="O59" s="763">
        <f ca="1">IF(L59&gt;0,N59*100/L59,0)</f>
        <v>37.650338948650294</v>
      </c>
      <c r="P59" s="763">
        <f ca="1">IF(M59&gt;0,N59*100/M59,0)</f>
        <v>49.913418538947937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492700</v>
      </c>
      <c r="M61" s="752">
        <f ca="1">M64+M67</f>
        <v>371650</v>
      </c>
      <c r="N61" s="752">
        <f ca="1">N64+N67</f>
        <v>185503.22</v>
      </c>
      <c r="O61" s="752">
        <f ca="1">IF(L61&gt;0,N61*100/L61,0)</f>
        <v>37.650338948650294</v>
      </c>
      <c r="P61" s="752">
        <f ca="1">IF(M61&gt;0,N61*100/M61,0)</f>
        <v>49.913418538947937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492700</v>
      </c>
      <c r="M62" s="425">
        <f ca="1">M63+M64</f>
        <v>371650</v>
      </c>
      <c r="N62" s="425">
        <f ca="1">N63+N64</f>
        <v>185503.22</v>
      </c>
      <c r="O62" s="425">
        <f ca="1">IF(L62&gt;0,N62*100/L62,0)</f>
        <v>37.650338948650294</v>
      </c>
      <c r="P62" s="425">
        <f ca="1">IF(M62&gt;0,N62*100/M62,0)</f>
        <v>49.913418538947937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IFERROR(__xludf.DUMMYFUNCTION("IMPORTRANGE(""https://docs.google.com/spreadsheets/d/1-uDff_7J0KD5mKrp0Vvzr7lt3OU09vwQwhkpOPPYv2Y/edit?usp=sharing"",""งบพรบ!AC38"")"),492700)</f>
        <v>492700</v>
      </c>
      <c r="M64" s="425">
        <f ca="1">IFERROR(__xludf.DUMMYFUNCTION("IMPORTRANGE(""https://docs.google.com/spreadsheets/d/1-uDff_7J0KD5mKrp0Vvzr7lt3OU09vwQwhkpOPPYv2Y/edit?usp=sharing"",""งบพรบ!AH38"")"),371650)</f>
        <v>371650</v>
      </c>
      <c r="N64" s="425">
        <f ca="1">IFERROR(__xludf.DUMMYFUNCTION("IMPORTRANGE(""https://docs.google.com/spreadsheets/d/1-uDff_7J0KD5mKrp0Vvzr7lt3OU09vwQwhkpOPPYv2Y/edit?usp=sharing"",""งบพรบ!AJ38"")"),185503.22)</f>
        <v>185503.22</v>
      </c>
      <c r="O64" s="425">
        <f ca="1">IF(L64&gt;0,N64*100/L64,0)</f>
        <v>37.650338948650294</v>
      </c>
      <c r="P64" s="425">
        <f ca="1">IF(M64&gt;0,N64*100/M64,0)</f>
        <v>49.913418538947937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IFERROR(__xludf.DUMMYFUNCTION("IMPORTRANGE(""https://docs.google.com/spreadsheets/d/1-uDff_7J0KD5mKrp0Vvzr7lt3OU09vwQwhkpOPPYv2Y/edit?usp=sharing"",""งบพรบ!AF38"")"),0)</f>
        <v>0</v>
      </c>
      <c r="M67" s="747">
        <f ca="1">IFERROR(__xludf.DUMMYFUNCTION("IMPORTRANGE(""https://docs.google.com/spreadsheets/d/1-uDff_7J0KD5mKrp0Vvzr7lt3OU09vwQwhkpOPPYv2Y/edit?usp=sharing"",""งบพรบ!AI38"")"),0)</f>
        <v>0</v>
      </c>
      <c r="N67" s="747">
        <f ca="1">IFERROR(__xludf.DUMMYFUNCTION("IMPORTRANGE(""https://docs.google.com/spreadsheets/d/1-uDff_7J0KD5mKrp0Vvzr7lt3OU09vwQwhkpOPPYv2Y/edit?usp=sharing"",""งบพรบ!AK38"")"),0)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19.5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1</v>
      </c>
      <c r="J70" s="705">
        <f>J82</f>
        <v>0</v>
      </c>
      <c r="K70" s="704">
        <f ca="1">IF(I70&gt;0,J70*100/I70,0)</f>
        <v>0</v>
      </c>
      <c r="L70" s="703"/>
      <c r="M70" s="703"/>
      <c r="N70" s="703"/>
      <c r="O70" s="703"/>
      <c r="P70" s="703"/>
    </row>
    <row r="71" spans="1:16" ht="19.5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63</v>
      </c>
      <c r="J71" s="705">
        <f>J83</f>
        <v>0</v>
      </c>
      <c r="K71" s="704">
        <f ca="1">IF(I71&gt;0,J71*100/I71,0)</f>
        <v>0</v>
      </c>
      <c r="L71" s="703"/>
      <c r="M71" s="703"/>
      <c r="N71" s="703"/>
      <c r="O71" s="703"/>
      <c r="P71" s="703"/>
    </row>
    <row r="72" spans="1:16" ht="19.5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330400</v>
      </c>
      <c r="M72" s="577">
        <f ca="1">M73+M74</f>
        <v>330400</v>
      </c>
      <c r="N72" s="577">
        <f ca="1">N73+N74</f>
        <v>14100</v>
      </c>
      <c r="O72" s="577">
        <f ca="1">IF(L72&gt;0,N72*100/L72,0)</f>
        <v>4.2675544794188864</v>
      </c>
      <c r="P72" s="577">
        <f ca="1">IF(M72&gt;0,N72*100/M72,0)</f>
        <v>4.2675544794188864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330400</v>
      </c>
      <c r="M74" s="425">
        <f ca="1">M77+M80</f>
        <v>330400</v>
      </c>
      <c r="N74" s="425">
        <f ca="1">N77+N80</f>
        <v>14100</v>
      </c>
      <c r="O74" s="425">
        <f ca="1">IF(L74&gt;0,N74*100/L74,0)</f>
        <v>4.2675544794188864</v>
      </c>
      <c r="P74" s="425">
        <f ca="1">IF(M74&gt;0,N74*100/M74,0)</f>
        <v>4.2675544794188864</v>
      </c>
    </row>
    <row r="75" spans="1:16" ht="18.75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330400</v>
      </c>
      <c r="M75" s="425">
        <f ca="1">M76+M77</f>
        <v>330400</v>
      </c>
      <c r="N75" s="425">
        <f ca="1">N76+N77</f>
        <v>14100</v>
      </c>
      <c r="O75" s="425">
        <f ca="1">IF(L75&gt;0,N75*100/L75,0)</f>
        <v>4.2675544794188864</v>
      </c>
      <c r="P75" s="425">
        <f ca="1">IF(M75&gt;0,N75*100/M75,0)</f>
        <v>4.2675544794188864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IFERROR(__xludf.DUMMYFUNCTION("IMPORTRANGE(""https://docs.google.com/spreadsheets/d/1-uDff_7J0KD5mKrp0Vvzr7lt3OU09vwQwhkpOPPYv2Y/edit?usp=sharing"",""งบพรบ!AM38"")"),330400)</f>
        <v>330400</v>
      </c>
      <c r="M77" s="425">
        <f ca="1">IFERROR(__xludf.DUMMYFUNCTION("IMPORTRANGE(""https://docs.google.com/spreadsheets/d/1-uDff_7J0KD5mKrp0Vvzr7lt3OU09vwQwhkpOPPYv2Y/edit?usp=sharing"",""งบพรบ!AR38"")"),330400)</f>
        <v>330400</v>
      </c>
      <c r="N77" s="425">
        <f ca="1">IFERROR(__xludf.DUMMYFUNCTION("IMPORTRANGE(""https://docs.google.com/spreadsheets/d/1-uDff_7J0KD5mKrp0Vvzr7lt3OU09vwQwhkpOPPYv2Y/edit?usp=sharing"",""งบพรบ!AT38"")"),14100)</f>
        <v>14100</v>
      </c>
      <c r="O77" s="425">
        <f ca="1">IF(L77&gt;0,N77*100/L77,0)</f>
        <v>4.2675544794188864</v>
      </c>
      <c r="P77" s="425">
        <f ca="1">IF(M77&gt;0,N77*100/M77,0)</f>
        <v>4.2675544794188864</v>
      </c>
    </row>
    <row r="78" spans="1:16" ht="18.75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IFERROR(__xludf.DUMMYFUNCTION("IMPORTRANGE(""https://docs.google.com/spreadsheets/d/1-uDff_7J0KD5mKrp0Vvzr7lt3OU09vwQwhkpOPPYv2Y/edit?usp=sharing"",""งบพรบ!AP38"")"),0)</f>
        <v>0</v>
      </c>
      <c r="M80" s="425">
        <f ca="1">IFERROR(__xludf.DUMMYFUNCTION("IMPORTRANGE(""https://docs.google.com/spreadsheets/d/1-uDff_7J0KD5mKrp0Vvzr7lt3OU09vwQwhkpOPPYv2Y/edit?usp=sharing"",""งบพรบ!AS38"")"),0)</f>
        <v>0</v>
      </c>
      <c r="N80" s="425">
        <f ca="1">IFERROR(__xludf.DUMMYFUNCTION("IMPORTRANGE(""https://docs.google.com/spreadsheets/d/1-uDff_7J0KD5mKrp0Vvzr7lt3OU09vwQwhkpOPPYv2Y/edit?usp=sharing"",""งบพรบ!AU38"")"),0)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1</v>
      </c>
      <c r="J82" s="625">
        <f>J84+J86+J88</f>
        <v>0</v>
      </c>
      <c r="K82" s="624">
        <f ca="1">IF(I82&gt;0,J82*100/I82,0)</f>
        <v>0</v>
      </c>
      <c r="L82" s="525"/>
      <c r="M82" s="525"/>
      <c r="N82" s="525"/>
      <c r="O82" s="525"/>
      <c r="P82" s="525"/>
    </row>
    <row r="83" spans="1:16" ht="19.5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63</v>
      </c>
      <c r="J83" s="625">
        <f>J85+J87+J89</f>
        <v>0</v>
      </c>
      <c r="K83" s="624">
        <f ca="1">IF(I83&gt;0,J83*100/I83,0)</f>
        <v>0</v>
      </c>
      <c r="L83" s="525"/>
      <c r="M83" s="525"/>
      <c r="N83" s="525"/>
      <c r="O83" s="525"/>
      <c r="P83" s="525"/>
    </row>
    <row r="84" spans="1:16" ht="18.75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IFERROR(__xludf.DUMMYFUNCTION("IMPORTRANGE(""https://docs.google.com/spreadsheets/d/1eHaY18a8A9IcSdp1K8H6x8fbOy06t2VsZHhMHf-1x7Y/edit?usp=sharing"",""แผน!H38"")"),0)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IFERROR(__xludf.DUMMYFUNCTION("IMPORTRANGE(""https://docs.google.com/spreadsheets/d/1eHaY18a8A9IcSdp1K8H6x8fbOy06t2VsZHhMHf-1x7Y/edit?usp=sharing"",""แผน!I38"")"),0)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IFERROR(__xludf.DUMMYFUNCTION("IMPORTRANGE(""https://docs.google.com/spreadsheets/d/1eHaY18a8A9IcSdp1K8H6x8fbOy06t2VsZHhMHf-1x7Y/edit?usp=sharing"",""แผน!F38"")"),0)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IFERROR(__xludf.DUMMYFUNCTION("IMPORTRANGE(""https://docs.google.com/spreadsheets/d/1eHaY18a8A9IcSdp1K8H6x8fbOy06t2VsZHhMHf-1x7Y/edit?usp=sharing"",""แผน!G38"")"),0)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IFERROR(__xludf.DUMMYFUNCTION("IMPORTRANGE(""https://docs.google.com/spreadsheets/d/1eHaY18a8A9IcSdp1K8H6x8fbOy06t2VsZHhMHf-1x7Y/edit?usp=sharing"",""แผน!D38"")"),1)</f>
        <v>1</v>
      </c>
      <c r="J88" s="595">
        <v>0</v>
      </c>
      <c r="K88" s="621">
        <f ca="1">IF(I88&gt;0,J88*100/I88,0)</f>
        <v>0</v>
      </c>
      <c r="L88" s="525"/>
      <c r="M88" s="525"/>
      <c r="N88" s="525"/>
      <c r="O88" s="525"/>
      <c r="P88" s="525"/>
    </row>
    <row r="89" spans="1:16" ht="18.75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IFERROR(__xludf.DUMMYFUNCTION("IMPORTRANGE(""https://docs.google.com/spreadsheets/d/1eHaY18a8A9IcSdp1K8H6x8fbOy06t2VsZHhMHf-1x7Y/edit?usp=sharing"",""แผน!E38"")"),63)</f>
        <v>63</v>
      </c>
      <c r="J89" s="595">
        <v>0</v>
      </c>
      <c r="K89" s="621">
        <f ca="1">IF(I89&gt;0,J89*100/I89,0)</f>
        <v>0</v>
      </c>
      <c r="L89" s="525"/>
      <c r="M89" s="525"/>
      <c r="N89" s="525"/>
      <c r="O89" s="525"/>
      <c r="P89" s="525"/>
    </row>
    <row r="90" spans="1:16" ht="18.75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IFERROR(__xludf.DUMMYFUNCTION("IMPORTRANGE(""https://docs.google.com/spreadsheets/d/1eHaY18a8A9IcSdp1K8H6x8fbOy06t2VsZHhMHf-1x7Y/edit?usp=sharing"",""แผน!J38"")"),1)</f>
        <v>1</v>
      </c>
      <c r="J90" s="595">
        <v>0</v>
      </c>
      <c r="K90" s="621">
        <f ca="1">IF(I90&gt;0,J90*100/I90,0)</f>
        <v>0</v>
      </c>
      <c r="L90" s="525"/>
      <c r="M90" s="525"/>
      <c r="N90" s="525"/>
      <c r="O90" s="525"/>
      <c r="P90" s="525"/>
    </row>
    <row r="91" spans="1:16" ht="19.5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30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10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134400</v>
      </c>
      <c r="M94" s="577">
        <f ca="1">M95+M96</f>
        <v>111000</v>
      </c>
      <c r="N94" s="577">
        <f ca="1">N95+N96</f>
        <v>29981.5</v>
      </c>
      <c r="O94" s="577">
        <f ca="1">IF(L94&gt;0,N94*100/L94,0)</f>
        <v>22.30766369047619</v>
      </c>
      <c r="P94" s="577">
        <f ca="1">IF(M94&gt;0,N94*100/M94,0)</f>
        <v>27.010360360360359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134400</v>
      </c>
      <c r="M96" s="425">
        <f ca="1">M99+M102</f>
        <v>111000</v>
      </c>
      <c r="N96" s="425">
        <f ca="1">N99+N102</f>
        <v>29981.5</v>
      </c>
      <c r="O96" s="425">
        <f ca="1">IF(L96&gt;0,N96*100/L96,0)</f>
        <v>22.30766369047619</v>
      </c>
      <c r="P96" s="425">
        <f ca="1">IF(M96&gt;0,N96*100/M96,0)</f>
        <v>27.010360360360359</v>
      </c>
    </row>
    <row r="97" spans="1:16" ht="18.75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134400</v>
      </c>
      <c r="M97" s="425">
        <f ca="1">M98+M99</f>
        <v>111000</v>
      </c>
      <c r="N97" s="425">
        <f ca="1">N98+N99</f>
        <v>29981.5</v>
      </c>
      <c r="O97" s="425">
        <f ca="1">IF(L97&gt;0,N97*100/L97,0)</f>
        <v>22.30766369047619</v>
      </c>
      <c r="P97" s="425">
        <f ca="1">IF(M97&gt;0,N97*100/M97,0)</f>
        <v>27.010360360360359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IFERROR(__xludf.DUMMYFUNCTION("IMPORTRANGE(""https://docs.google.com/spreadsheets/d/1-uDff_7J0KD5mKrp0Vvzr7lt3OU09vwQwhkpOPPYv2Y/edit?usp=sharing"",""งบพรบ!AW38"")"),134400)</f>
        <v>134400</v>
      </c>
      <c r="M99" s="425">
        <f ca="1">IFERROR(__xludf.DUMMYFUNCTION("IMPORTRANGE(""https://docs.google.com/spreadsheets/d/1-uDff_7J0KD5mKrp0Vvzr7lt3OU09vwQwhkpOPPYv2Y/edit?usp=sharing"",""งบพรบ!BB38"")"),111000)</f>
        <v>111000</v>
      </c>
      <c r="N99" s="425">
        <f ca="1">IFERROR(__xludf.DUMMYFUNCTION("IMPORTRANGE(""https://docs.google.com/spreadsheets/d/1-uDff_7J0KD5mKrp0Vvzr7lt3OU09vwQwhkpOPPYv2Y/edit?usp=sharing"",""งบพรบ!BD38"")"),29981.5)</f>
        <v>29981.5</v>
      </c>
      <c r="O99" s="425">
        <f ca="1">IF(L99&gt;0,N99*100/L99,0)</f>
        <v>22.30766369047619</v>
      </c>
      <c r="P99" s="425">
        <f ca="1">IF(M99&gt;0,N99*100/M99,0)</f>
        <v>27.010360360360359</v>
      </c>
    </row>
    <row r="100" spans="1:16" ht="18.75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IFERROR(__xludf.DUMMYFUNCTION("IMPORTRANGE(""https://docs.google.com/spreadsheets/d/1-uDff_7J0KD5mKrp0Vvzr7lt3OU09vwQwhkpOPPYv2Y/edit?usp=sharing"",""งบพรบ!AZ38"")"),0)</f>
        <v>0</v>
      </c>
      <c r="M102" s="425">
        <f ca="1">IFERROR(__xludf.DUMMYFUNCTION("IMPORTRANGE(""https://docs.google.com/spreadsheets/d/1-uDff_7J0KD5mKrp0Vvzr7lt3OU09vwQwhkpOPPYv2Y/edit?usp=sharing"",""งบพรบ!BC38"")"),0)</f>
        <v>0</v>
      </c>
      <c r="N102" s="425">
        <f ca="1">IFERROR(__xludf.DUMMYFUNCTION("IMPORTRANGE(""https://docs.google.com/spreadsheets/d/1-uDff_7J0KD5mKrp0Vvzr7lt3OU09vwQwhkpOPPYv2Y/edit?usp=sharing"",""งบพรบ!BE38"")"),0)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IFERROR(__xludf.DUMMYFUNCTION("IMPORTRANGE(""https://docs.google.com/spreadsheets/d/1eHaY18a8A9IcSdp1K8H6x8fbOy06t2VsZHhMHf-1x7Y/edit?usp=sharing"",""แผน!N38"")"),30)</f>
        <v>30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IFERROR(__xludf.DUMMYFUNCTION("IMPORTRANGE(""https://docs.google.com/spreadsheets/d/1eHaY18a8A9IcSdp1K8H6x8fbOy06t2VsZHhMHf-1x7Y/edit?usp=sharing"",""แผน!O38"")"),10)</f>
        <v>10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IFERROR(__xludf.DUMMYFUNCTION("IMPORTRANGE(""https://docs.google.com/spreadsheets/d/1eHaY18a8A9IcSdp1K8H6x8fbOy06t2VsZHhMHf-1x7Y/edit?usp=sharing"",""แผน!R38"")"),10)</f>
        <v>10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IFERROR(__xludf.DUMMYFUNCTION("IMPORTRANGE(""https://docs.google.com/spreadsheets/d/1-uDff_7J0KD5mKrp0Vvzr7lt3OU09vwQwhkpOPPYv2Y/edit?usp=sharing"",""งบพรบ!BG38"")"),0)</f>
        <v>0</v>
      </c>
      <c r="M130" s="723">
        <f ca="1">IFERROR(__xludf.DUMMYFUNCTION("IMPORTRANGE(""https://docs.google.com/spreadsheets/d/1-uDff_7J0KD5mKrp0Vvzr7lt3OU09vwQwhkpOPPYv2Y/edit?usp=sharing"",""งบพรบ!BL38"")"),0)</f>
        <v>0</v>
      </c>
      <c r="N130" s="723">
        <f ca="1">IFERROR(__xludf.DUMMYFUNCTION("IMPORTRANGE(""https://docs.google.com/spreadsheets/d/1-uDff_7J0KD5mKrp0Vvzr7lt3OU09vwQwhkpOPPYv2Y/edit?usp=sharing"",""งบพรบ!BN38"")"),0)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IFERROR(__xludf.DUMMYFUNCTION("IMPORTRANGE(""https://docs.google.com/spreadsheets/d/1-uDff_7J0KD5mKrp0Vvzr7lt3OU09vwQwhkpOPPYv2Y/edit?usp=sharing"",""งบพรบ!BJ38"")"),0)</f>
        <v>0</v>
      </c>
      <c r="M133" s="723">
        <f ca="1">IFERROR(__xludf.DUMMYFUNCTION("IMPORTRANGE(""https://docs.google.com/spreadsheets/d/1-uDff_7J0KD5mKrp0Vvzr7lt3OU09vwQwhkpOPPYv2Y/edit?usp=sharing"",""งบพรบ!BM38"")"),0)</f>
        <v>0</v>
      </c>
      <c r="N133" s="723">
        <f ca="1">IFERROR(__xludf.DUMMYFUNCTION("IMPORTRANGE(""https://docs.google.com/spreadsheets/d/1-uDff_7J0KD5mKrp0Vvzr7lt3OU09vwQwhkpOPPYv2Y/edit?usp=sharing"",""งบพรบ!BO38"")"),0)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hidden="1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hidden="1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hidden="1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0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hidden="1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0</v>
      </c>
      <c r="J137" s="705">
        <f>J152</f>
        <v>0</v>
      </c>
      <c r="K137" s="704">
        <f ca="1">IF(I137&gt;0,J137*100/I137,0)</f>
        <v>0</v>
      </c>
      <c r="L137" s="703"/>
      <c r="M137" s="703"/>
      <c r="N137" s="703"/>
      <c r="O137" s="703"/>
      <c r="P137" s="703"/>
    </row>
    <row r="138" spans="1:16" ht="19.5" hidden="1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0</v>
      </c>
      <c r="J138" s="705">
        <f>J153</f>
        <v>0</v>
      </c>
      <c r="K138" s="704">
        <f ca="1">IF(I138&gt;0,J138*100/I138,0)</f>
        <v>0</v>
      </c>
      <c r="L138" s="703"/>
      <c r="M138" s="703"/>
      <c r="N138" s="703"/>
      <c r="O138" s="703"/>
      <c r="P138" s="703"/>
    </row>
    <row r="139" spans="1:16" ht="19.5" hidden="1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0</v>
      </c>
      <c r="M139" s="577">
        <f ca="1">M140+M141</f>
        <v>0</v>
      </c>
      <c r="N139" s="577">
        <f ca="1">N140+N141</f>
        <v>0</v>
      </c>
      <c r="O139" s="577">
        <f ca="1">IF(L139&gt;0,N139*100/L139,0)</f>
        <v>0</v>
      </c>
      <c r="P139" s="577">
        <f ca="1">IF(M139&gt;0,N139*100/M139,0)</f>
        <v>0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hidden="1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0</v>
      </c>
      <c r="M141" s="425">
        <f ca="1">M144+M147</f>
        <v>0</v>
      </c>
      <c r="N141" s="425">
        <f ca="1">N144+N147</f>
        <v>0</v>
      </c>
      <c r="O141" s="425">
        <f ca="1">IF(L141&gt;0,N141*100/L141,0)</f>
        <v>0</v>
      </c>
      <c r="P141" s="425">
        <f ca="1">IF(M141&gt;0,N141*100/M141,0)</f>
        <v>0</v>
      </c>
    </row>
    <row r="142" spans="1:16" ht="18.75" hidden="1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0</v>
      </c>
      <c r="M142" s="425">
        <f ca="1">M143+M144</f>
        <v>0</v>
      </c>
      <c r="N142" s="425">
        <f ca="1">N143+N144</f>
        <v>0</v>
      </c>
      <c r="O142" s="425">
        <f ca="1">IF(L142&gt;0,N142*100/L142,0)</f>
        <v>0</v>
      </c>
      <c r="P142" s="425">
        <f ca="1">IF(M142&gt;0,N142*100/M142,0)</f>
        <v>0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hidden="1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IFERROR(__xludf.DUMMYFUNCTION("IMPORTRANGE(""https://docs.google.com/spreadsheets/d/1-uDff_7J0KD5mKrp0Vvzr7lt3OU09vwQwhkpOPPYv2Y/edit?usp=sharing"",""งบพรบ!BQ38"")"),0)</f>
        <v>0</v>
      </c>
      <c r="M144" s="425">
        <f ca="1">IFERROR(__xludf.DUMMYFUNCTION("IMPORTRANGE(""https://docs.google.com/spreadsheets/d/1-uDff_7J0KD5mKrp0Vvzr7lt3OU09vwQwhkpOPPYv2Y/edit?usp=sharing"",""งบพรบ!BV38"")"),0)</f>
        <v>0</v>
      </c>
      <c r="N144" s="425">
        <f ca="1">IFERROR(__xludf.DUMMYFUNCTION("IMPORTRANGE(""https://docs.google.com/spreadsheets/d/1-uDff_7J0KD5mKrp0Vvzr7lt3OU09vwQwhkpOPPYv2Y/edit?usp=sharing"",""งบพรบ!BX38"")"),0)</f>
        <v>0</v>
      </c>
      <c r="O144" s="425">
        <f ca="1">IF(L144&gt;0,N144*100/L144,0)</f>
        <v>0</v>
      </c>
      <c r="P144" s="425">
        <f ca="1">IF(M144&gt;0,N144*100/M144,0)</f>
        <v>0</v>
      </c>
    </row>
    <row r="145" spans="1:16" ht="18.75" hidden="1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hidden="1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IFERROR(__xludf.DUMMYFUNCTION("IMPORTRANGE(""https://docs.google.com/spreadsheets/d/1-uDff_7J0KD5mKrp0Vvzr7lt3OU09vwQwhkpOPPYv2Y/edit?usp=sharing"",""งบพรบ!BT38"")"),0)</f>
        <v>0</v>
      </c>
      <c r="M147" s="425">
        <f ca="1">IFERROR(__xludf.DUMMYFUNCTION("IMPORTRANGE(""https://docs.google.com/spreadsheets/d/1-uDff_7J0KD5mKrp0Vvzr7lt3OU09vwQwhkpOPPYv2Y/edit?usp=sharing"",""งบพรบ!BW38"")"),0)</f>
        <v>0</v>
      </c>
      <c r="N147" s="425">
        <f ca="1">IFERROR(__xludf.DUMMYFUNCTION("IMPORTRANGE(""https://docs.google.com/spreadsheets/d/1-uDff_7J0KD5mKrp0Vvzr7lt3OU09vwQwhkpOPPYv2Y/edit?usp=sharing"",""งบพรบ!BY38"")"),0)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hidden="1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hidden="1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hidden="1" x14ac:dyDescent="0.3">
      <c r="A150" s="535"/>
      <c r="B150" s="418"/>
      <c r="C150" s="418"/>
      <c r="D150" s="420"/>
      <c r="E150" s="570" t="s">
        <v>159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IFERROR(__xludf.DUMMYFUNCTION("IMPORTRANGE(""https://docs.google.com/spreadsheets/d/1eHaY18a8A9IcSdp1K8H6x8fbOy06t2VsZHhMHf-1x7Y/edit?usp=sharing"",""แผน!U38"")"),0)</f>
        <v>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hidden="1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IFERROR(__xludf.DUMMYFUNCTION("IMPORTRANGE(""https://docs.google.com/spreadsheets/d/1eHaY18a8A9IcSdp1K8H6x8fbOy06t2VsZHhMHf-1x7Y/edit?usp=sharing"",""แผน!V38"")"),0)</f>
        <v>0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hidden="1" x14ac:dyDescent="0.3">
      <c r="A152" s="535"/>
      <c r="B152" s="418"/>
      <c r="C152" s="418"/>
      <c r="D152" s="420"/>
      <c r="E152" s="570" t="s">
        <v>158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IFERROR(__xludf.DUMMYFUNCTION("IMPORTRANGE(""https://docs.google.com/spreadsheets/d/1eHaY18a8A9IcSdp1K8H6x8fbOy06t2VsZHhMHf-1x7Y/edit?usp=sharing"",""แผน!W38"")"),0)</f>
        <v>0</v>
      </c>
      <c r="J152" s="595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hidden="1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IFERROR(__xludf.DUMMYFUNCTION("IMPORTRANGE(""https://docs.google.com/spreadsheets/d/1eHaY18a8A9IcSdp1K8H6x8fbOy06t2VsZHhMHf-1x7Y/edit?usp=sharing"",""แผน!X38"")"),0)</f>
        <v>0</v>
      </c>
      <c r="J153" s="595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hidden="1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IFERROR(__xludf.DUMMYFUNCTION("IMPORTRANGE(""https://docs.google.com/spreadsheets/d/1eHaY18a8A9IcSdp1K8H6x8fbOy06t2VsZHhMHf-1x7Y/edit?usp=sharing"",""แผน!Y38"")"),0)</f>
        <v>0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I167</f>
        <v>20</v>
      </c>
      <c r="J156" s="705">
        <f>J167</f>
        <v>0</v>
      </c>
      <c r="K156" s="704">
        <f ca="1">IF(I156&gt;0,J156*100/I156,0)</f>
        <v>0</v>
      </c>
      <c r="L156" s="703"/>
      <c r="M156" s="703"/>
      <c r="N156" s="703"/>
      <c r="O156" s="703"/>
      <c r="P156" s="703"/>
    </row>
    <row r="157" spans="1:16" ht="19.5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6000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6000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6000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IFERROR(__xludf.DUMMYFUNCTION("IMPORTRANGE(""https://docs.google.com/spreadsheets/d/1-uDff_7J0KD5mKrp0Vvzr7lt3OU09vwQwhkpOPPYv2Y/edit?usp=sharing"",""งบพรบ!CA38"")"),6000)</f>
        <v>6000</v>
      </c>
      <c r="M162" s="425">
        <f ca="1">IFERROR(__xludf.DUMMYFUNCTION("IMPORTRANGE(""https://docs.google.com/spreadsheets/d/1-uDff_7J0KD5mKrp0Vvzr7lt3OU09vwQwhkpOPPYv2Y/edit?usp=sharing"",""งบพรบ!CF38"")"),0)</f>
        <v>0</v>
      </c>
      <c r="N162" s="425">
        <f ca="1">IFERROR(__xludf.DUMMYFUNCTION("IMPORTRANGE(""https://docs.google.com/spreadsheets/d/1-uDff_7J0KD5mKrp0Vvzr7lt3OU09vwQwhkpOPPYv2Y/edit?usp=sharing"",""งบพรบ!CH38"")"),0)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IFERROR(__xludf.DUMMYFUNCTION("IMPORTRANGE(""https://docs.google.com/spreadsheets/d/1-uDff_7J0KD5mKrp0Vvzr7lt3OU09vwQwhkpOPPYv2Y/edit?usp=sharing"",""งบพรบ!CD38"")"),0)</f>
        <v>0</v>
      </c>
      <c r="M165" s="425">
        <f ca="1">IFERROR(__xludf.DUMMYFUNCTION("IMPORTRANGE(""https://docs.google.com/spreadsheets/d/1-uDff_7J0KD5mKrp0Vvzr7lt3OU09vwQwhkpOPPYv2Y/edit?usp=sharing"",""งบพรบ!CG38"")"),0)</f>
        <v>0</v>
      </c>
      <c r="N165" s="425">
        <f ca="1">IFERROR(__xludf.DUMMYFUNCTION("IMPORTRANGE(""https://docs.google.com/spreadsheets/d/1-uDff_7J0KD5mKrp0Vvzr7lt3OU09vwQwhkpOPPYv2Y/edit?usp=sharing"",""งบพรบ!CI38"")"),0)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IFERROR(__xludf.DUMMYFUNCTION("IMPORTRANGE(""https://docs.google.com/spreadsheets/d/1eHaY18a8A9IcSdp1K8H6x8fbOy06t2VsZHhMHf-1x7Y/edit?usp=sharing"",""แผน!Z38"")"),20)</f>
        <v>20</v>
      </c>
      <c r="J167" s="595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I167</f>
        <v>20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I167</f>
        <v>20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7</v>
      </c>
      <c r="J172" s="688">
        <f>J183+J184</f>
        <v>0</v>
      </c>
      <c r="K172" s="687">
        <f ca="1">IF(I172&gt;0,J172*100/I172,0)</f>
        <v>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19590</v>
      </c>
      <c r="M173" s="577">
        <f ca="1">M174+M175</f>
        <v>19590</v>
      </c>
      <c r="N173" s="577">
        <f ca="1">N174+N175</f>
        <v>0</v>
      </c>
      <c r="O173" s="577">
        <f ca="1">IF(L173&gt;0,N173*100/L173,0)</f>
        <v>0</v>
      </c>
      <c r="P173" s="577">
        <f ca="1">IF(M173&gt;0,N173*100/M173,0)</f>
        <v>0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19590</v>
      </c>
      <c r="N175" s="425">
        <f ca="1">N178+N181</f>
        <v>0</v>
      </c>
      <c r="O175" s="425">
        <f ca="1">IF(L175&gt;0,N175*100/L175,0)</f>
        <v>0</v>
      </c>
      <c r="P175" s="425">
        <f ca="1">IF(M175&gt;0,N175*100/M175,0)</f>
        <v>0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19590</v>
      </c>
      <c r="M176" s="425">
        <f ca="1">M177+M178</f>
        <v>19590</v>
      </c>
      <c r="N176" s="425">
        <f ca="1">N177+N178</f>
        <v>0</v>
      </c>
      <c r="O176" s="425">
        <f ca="1">IF(L176&gt;0,N176*100/L176,0)</f>
        <v>0</v>
      </c>
      <c r="P176" s="425">
        <f ca="1">IF(M176&gt;0,N176*100/M176,0)</f>
        <v>0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IFERROR(__xludf.DUMMYFUNCTION("IMPORTRANGE(""https://docs.google.com/spreadsheets/d/1-uDff_7J0KD5mKrp0Vvzr7lt3OU09vwQwhkpOPPYv2Y/edit?usp=sharing"",""งบพรบ!CK38"")"),19590)</f>
        <v>19590</v>
      </c>
      <c r="M178" s="425">
        <f ca="1">IFERROR(__xludf.DUMMYFUNCTION("IMPORTRANGE(""https://docs.google.com/spreadsheets/d/1-uDff_7J0KD5mKrp0Vvzr7lt3OU09vwQwhkpOPPYv2Y/edit?usp=sharing"",""งบพรบ!CP38"")"),19590)</f>
        <v>19590</v>
      </c>
      <c r="N178" s="425">
        <f ca="1">IFERROR(__xludf.DUMMYFUNCTION("IMPORTRANGE(""https://docs.google.com/spreadsheets/d/1-uDff_7J0KD5mKrp0Vvzr7lt3OU09vwQwhkpOPPYv2Y/edit?usp=sharing"",""งบพรบ!CR38"")"),0)</f>
        <v>0</v>
      </c>
      <c r="O178" s="425">
        <f ca="1">IF(L178&gt;0,N178*100/L178,0)</f>
        <v>0</v>
      </c>
      <c r="P178" s="425">
        <f ca="1">IF(M178&gt;0,N178*100/M178,0)</f>
        <v>0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IFERROR(__xludf.DUMMYFUNCTION("IMPORTRANGE(""https://docs.google.com/spreadsheets/d/1-uDff_7J0KD5mKrp0Vvzr7lt3OU09vwQwhkpOPPYv2Y/edit?usp=sharing"",""งบพรบ!CN38"")"),0)</f>
        <v>0</v>
      </c>
      <c r="M181" s="425">
        <f ca="1">IFERROR(__xludf.DUMMYFUNCTION("IMPORTRANGE(""https://docs.google.com/spreadsheets/d/1-uDff_7J0KD5mKrp0Vvzr7lt3OU09vwQwhkpOPPYv2Y/edit?usp=sharing"",""งบพรบ!CQ38"")"),0)</f>
        <v>0</v>
      </c>
      <c r="N181" s="425">
        <f ca="1">IFERROR(__xludf.DUMMYFUNCTION("IMPORTRANGE(""https://docs.google.com/spreadsheets/d/1-uDff_7J0KD5mKrp0Vvzr7lt3OU09vwQwhkpOPPYv2Y/edit?usp=sharing"",""งบพรบ!CS38"")"),0)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IFERROR(__xludf.DUMMYFUNCTION("IMPORTRANGE(""https://docs.google.com/spreadsheets/d/1eHaY18a8A9IcSdp1K8H6x8fbOy06t2VsZHhMHf-1x7Y/edit?usp=sharing"",""แผน!AA38"")"),7)</f>
        <v>7</v>
      </c>
      <c r="J183" s="595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0</v>
      </c>
      <c r="J185" s="688">
        <f>J230+J231</f>
        <v>0</v>
      </c>
      <c r="K185" s="687">
        <f ca="1">IF(I185&gt;0,J185*100/I185,0)</f>
        <v>0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245500</v>
      </c>
      <c r="M186" s="577">
        <f ca="1">M187+M188</f>
        <v>161500</v>
      </c>
      <c r="N186" s="577">
        <f ca="1">N187+N188</f>
        <v>66000</v>
      </c>
      <c r="O186" s="577">
        <f ca="1">IF(L186&gt;0,N186*100/L186,0)</f>
        <v>26.883910386965375</v>
      </c>
      <c r="P186" s="577">
        <f ca="1">IF(M186&gt;0,N186*100/M186,0)</f>
        <v>40.866873065015483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245500</v>
      </c>
      <c r="M188" s="425">
        <f ca="1">M191+M194</f>
        <v>161500</v>
      </c>
      <c r="N188" s="425">
        <f ca="1">N191+N194</f>
        <v>66000</v>
      </c>
      <c r="O188" s="425">
        <f ca="1">IF(L188&gt;0,N188*100/L188,0)</f>
        <v>26.883910386965375</v>
      </c>
      <c r="P188" s="425">
        <f ca="1">IF(M188&gt;0,N188*100/M188,0)</f>
        <v>40.866873065015483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245500</v>
      </c>
      <c r="M189" s="425">
        <f ca="1">M190+M191</f>
        <v>161500</v>
      </c>
      <c r="N189" s="425">
        <f ca="1">N190+N191</f>
        <v>66000</v>
      </c>
      <c r="O189" s="425">
        <f ca="1">IF(L189&gt;0,N189*100/L189,0)</f>
        <v>26.883910386965375</v>
      </c>
      <c r="P189" s="425">
        <f ca="1">IF(M189&gt;0,N189*100/M189,0)</f>
        <v>40.866873065015483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IFERROR(__xludf.DUMMYFUNCTION("IMPORTRANGE(""https://docs.google.com/spreadsheets/d/1-uDff_7J0KD5mKrp0Vvzr7lt3OU09vwQwhkpOPPYv2Y/edit?usp=sharing"",""งบพรบ!CU38"")"),245500)</f>
        <v>245500</v>
      </c>
      <c r="M191" s="425">
        <f ca="1">IFERROR(__xludf.DUMMYFUNCTION("IMPORTRANGE(""https://docs.google.com/spreadsheets/d/1-uDff_7J0KD5mKrp0Vvzr7lt3OU09vwQwhkpOPPYv2Y/edit?usp=sharing"",""งบพรบ!CZ38"")"),161500)</f>
        <v>161500</v>
      </c>
      <c r="N191" s="425">
        <f ca="1">IFERROR(__xludf.DUMMYFUNCTION("IMPORTRANGE(""https://docs.google.com/spreadsheets/d/1-uDff_7J0KD5mKrp0Vvzr7lt3OU09vwQwhkpOPPYv2Y/edit?usp=sharing"",""งบพรบ!DB38"")"),66000)</f>
        <v>66000</v>
      </c>
      <c r="O191" s="425">
        <f ca="1">IF(L191&gt;0,N191*100/L191,0)</f>
        <v>26.883910386965375</v>
      </c>
      <c r="P191" s="425">
        <f ca="1">IF(M191&gt;0,N191*100/M191,0)</f>
        <v>40.866873065015483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IFERROR(__xludf.DUMMYFUNCTION("IMPORTRANGE(""https://docs.google.com/spreadsheets/d/1-uDff_7J0KD5mKrp0Vvzr7lt3OU09vwQwhkpOPPYv2Y/edit?usp=sharing"",""งบพรบ!CX38"")"),0)</f>
        <v>0</v>
      </c>
      <c r="M194" s="425">
        <f ca="1">IFERROR(__xludf.DUMMYFUNCTION("IMPORTRANGE(""https://docs.google.com/spreadsheets/d/1-uDff_7J0KD5mKrp0Vvzr7lt3OU09vwQwhkpOPPYv2Y/edit?usp=sharing"",""งบพรบ!DA38"")"),0)</f>
        <v>0</v>
      </c>
      <c r="N194" s="425">
        <f ca="1">IFERROR(__xludf.DUMMYFUNCTION("IMPORTRANGE(""https://docs.google.com/spreadsheets/d/1-uDff_7J0KD5mKrp0Vvzr7lt3OU09vwQwhkpOPPYv2Y/edit?usp=sharing"",""งบพรบ!DC38"")"),0)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1</v>
      </c>
      <c r="K195" s="439">
        <f ca="1">IF(I195&gt;0,J195*100/I195,0)</f>
        <v>25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IFERROR(__xludf.DUMMYFUNCTION("IMPORTRANGE(""https://docs.google.com/spreadsheets/d/1eHaY18a8A9IcSdp1K8H6x8fbOy06t2VsZHhMHf-1x7Y/edit?usp=sharing"",""แผน!AB38"")"),6000)</f>
        <v>6000</v>
      </c>
      <c r="M196" s="428"/>
      <c r="N196" s="686">
        <v>0</v>
      </c>
      <c r="O196" s="577">
        <f ca="1">IF(L196&gt;0,N196*100/L196,0)</f>
        <v>0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IFERROR(__xludf.DUMMYFUNCTION("IMPORTRANGE(""https://docs.google.com/spreadsheets/d/1eHaY18a8A9IcSdp1K8H6x8fbOy06t2VsZHhMHf-1x7Y/edit?usp=sharing"",""แผน!AE38"")"),4)</f>
        <v>4</v>
      </c>
      <c r="J198" s="595">
        <v>1</v>
      </c>
      <c r="K198" s="425">
        <f ca="1">IF(I198&gt;0,J198*100/I198,0)</f>
        <v>25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42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42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2</v>
      </c>
      <c r="J202" s="438">
        <f>J209</f>
        <v>0</v>
      </c>
      <c r="K202" s="439">
        <f ca="1">IF(I202&gt;0,J202*100/I202,0)</f>
        <v>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31000</v>
      </c>
      <c r="M203" s="428"/>
      <c r="N203" s="577">
        <f>N204+N205+N206+N207</f>
        <v>0</v>
      </c>
      <c r="O203" s="577">
        <f ca="1">IF(L203&gt;0,N203*100/L203,0)</f>
        <v>0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2" t="s">
        <v>157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IFERROR(__xludf.DUMMYFUNCTION("IMPORTRANGE(""https://docs.google.com/spreadsheets/d/1eHaY18a8A9IcSdp1K8H6x8fbOy06t2VsZHhMHf-1x7Y/edit?usp=sharing"",""แผน!AG38"")"),2000)</f>
        <v>2000</v>
      </c>
      <c r="M204" s="428"/>
      <c r="N204" s="683">
        <v>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IFERROR(__xludf.DUMMYFUNCTION("IMPORTRANGE(""https://docs.google.com/spreadsheets/d/1eHaY18a8A9IcSdp1K8H6x8fbOy06t2VsZHhMHf-1x7Y/edit?usp=sharing"",""แผน!AH38"")"),0)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IFERROR(__xludf.DUMMYFUNCTION("IMPORTRANGE(""https://docs.google.com/spreadsheets/d/1eHaY18a8A9IcSdp1K8H6x8fbOy06t2VsZHhMHf-1x7Y/edit?usp=sharing"",""แผน!AI38"")"),16000)</f>
        <v>16000</v>
      </c>
      <c r="M206" s="428"/>
      <c r="N206" s="683">
        <v>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IFERROR(__xludf.DUMMYFUNCTION("IMPORTRANGE(""https://docs.google.com/spreadsheets/d/1eHaY18a8A9IcSdp1K8H6x8fbOy06t2VsZHhMHf-1x7Y/edit?usp=sharing"",""แผน!AJ38"")"),13000)</f>
        <v>13000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IFERROR(__xludf.DUMMYFUNCTION("IMPORTRANGE(""https://docs.google.com/spreadsheets/d/1eHaY18a8A9IcSdp1K8H6x8fbOy06t2VsZHhMHf-1x7Y/edit?usp=sharing"",""แผน!AK38"")"),2)</f>
        <v>2</v>
      </c>
      <c r="J209" s="595">
        <v>0</v>
      </c>
      <c r="K209" s="621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IFERROR(__xludf.DUMMYFUNCTION("IMPORTRANGE(""https://docs.google.com/spreadsheets/d/1eHaY18a8A9IcSdp1K8H6x8fbOy06t2VsZHhMHf-1x7Y/edit?usp=sharing"",""แผน!JX38"")"),2)</f>
        <v>2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IFERROR(__xludf.DUMMYFUNCTION("IMPORTRANGE(""https://docs.google.com/spreadsheets/d/1eHaY18a8A9IcSdp1K8H6x8fbOy06t2VsZHhMHf-1x7Y/edit?usp=sharing"",""แผน!JY38"")"),1)</f>
        <v>1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1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14000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IFERROR(__xludf.DUMMYFUNCTION("IMPORTRANGE(""https://docs.google.com/spreadsheets/d/1eHaY18a8A9IcSdp1K8H6x8fbOy06t2VsZHhMHf-1x7Y/edit?usp=sharing"",""แผน!AM38"")"),1000)</f>
        <v>1000</v>
      </c>
      <c r="M215" s="428"/>
      <c r="N215" s="683">
        <v>0</v>
      </c>
      <c r="O215" s="525"/>
      <c r="P215" s="428"/>
    </row>
    <row r="216" spans="1:16" ht="18.75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IFERROR(__xludf.DUMMYFUNCTION("IMPORTRANGE(""https://docs.google.com/spreadsheets/d/1eHaY18a8A9IcSdp1K8H6x8fbOy06t2VsZHhMHf-1x7Y/edit?usp=sharing"",""แผน!AN38"")"),5000)</f>
        <v>5000</v>
      </c>
      <c r="M216" s="428"/>
      <c r="N216" s="683">
        <v>0</v>
      </c>
      <c r="O216" s="525"/>
      <c r="P216" s="428"/>
    </row>
    <row r="217" spans="1:16" ht="18.75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IFERROR(__xludf.DUMMYFUNCTION("IMPORTRANGE(""https://docs.google.com/spreadsheets/d/1eHaY18a8A9IcSdp1K8H6x8fbOy06t2VsZHhMHf-1x7Y/edit?usp=sharing"",""แผน!AO38"")"),8000)</f>
        <v>8000</v>
      </c>
      <c r="M217" s="428"/>
      <c r="N217" s="683">
        <v>0</v>
      </c>
      <c r="O217" s="525"/>
      <c r="P217" s="428"/>
    </row>
    <row r="218" spans="1:16" ht="19.5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IFERROR(__xludf.DUMMYFUNCTION("IMPORTRANGE(""https://docs.google.com/spreadsheets/d/1eHaY18a8A9IcSdp1K8H6x8fbOy06t2VsZHhMHf-1x7Y/edit?usp=sharing"",""แผน!AP38"")"),1)</f>
        <v>1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IFERROR(__xludf.DUMMYFUNCTION("IMPORTRANGE(""https://docs.google.com/spreadsheets/d/1eHaY18a8A9IcSdp1K8H6x8fbOy06t2VsZHhMHf-1x7Y/edit?usp=sharing"",""แผน!AP38"")"),1)</f>
        <v>1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100000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12500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2" t="s">
        <v>156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IFERROR(__xludf.DUMMYFUNCTION("IMPORTRANGE(""https://docs.google.com/spreadsheets/d/1eHaY18a8A9IcSdp1K8H6x8fbOy06t2VsZHhMHf-1x7Y/edit?usp=sharing"",""แผน!AR38"")"),11000)</f>
        <v>11000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IFERROR(__xludf.DUMMYFUNCTION("IMPORTRANGE(""https://docs.google.com/spreadsheets/d/1eHaY18a8A9IcSdp1K8H6x8fbOy06t2VsZHhMHf-1x7Y/edit?usp=sharing"",""แผน!AS38"")"),1500)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IFERROR(__xludf.DUMMYFUNCTION("IMPORTRANGE(""https://docs.google.com/spreadsheets/d/1eHaY18a8A9IcSdp1K8H6x8fbOy06t2VsZHhMHf-1x7Y/edit?usp=sharing"",""แผน!AT38"")"),0)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IFERROR(__xludf.DUMMYFUNCTION("IMPORTRANGE(""https://docs.google.com/spreadsheets/d/1eHaY18a8A9IcSdp1K8H6x8fbOy06t2VsZHhMHf-1x7Y/edit?usp=sharing"",""แผน!AV38"")"),100000)</f>
        <v>100000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IFERROR(__xludf.DUMMYFUNCTION("IMPORTRANGE(""https://docs.google.com/spreadsheets/d/1eHaY18a8A9IcSdp1K8H6x8fbOy06t2VsZHhMHf-1x7Y/edit?usp=sharing"",""แผน!AV38"")"),100000)</f>
        <v>100000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IFERROR(__xludf.DUMMYFUNCTION("IMPORTRANGE(""https://docs.google.com/spreadsheets/d/1eHaY18a8A9IcSdp1K8H6x8fbOy06t2VsZHhMHf-1x7Y/edit?usp=sharing"",""แผน!AU38"")"),0)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432"/>
      <c r="B231" s="434"/>
      <c r="C231" s="682" t="s">
        <v>99</v>
      </c>
      <c r="D231" s="433"/>
      <c r="E231" s="433"/>
      <c r="F231" s="433"/>
      <c r="G231" s="436"/>
      <c r="H231" s="437" t="s">
        <v>33</v>
      </c>
      <c r="I231" s="438">
        <f ca="1">I242+I253</f>
        <v>0</v>
      </c>
      <c r="J231" s="438">
        <f>J242+J253</f>
        <v>0</v>
      </c>
      <c r="K231" s="439">
        <f ca="1">IF(I231&gt;0,J231*100/I231,0)</f>
        <v>0</v>
      </c>
      <c r="L231" s="571"/>
      <c r="M231" s="571"/>
      <c r="N231" s="571"/>
      <c r="O231" s="571"/>
      <c r="P231" s="571"/>
    </row>
    <row r="232" spans="1:16" ht="19.5" hidden="1" x14ac:dyDescent="0.3">
      <c r="A232" s="535"/>
      <c r="B232" s="418"/>
      <c r="C232" s="570" t="s">
        <v>16</v>
      </c>
      <c r="D232" s="579" t="s">
        <v>17</v>
      </c>
      <c r="E232" s="418"/>
      <c r="F232" s="418"/>
      <c r="G232" s="422"/>
      <c r="H232" s="681" t="s">
        <v>12</v>
      </c>
      <c r="I232" s="526"/>
      <c r="J232" s="526"/>
      <c r="K232" s="525"/>
      <c r="L232" s="577">
        <f ca="1">L243+L254</f>
        <v>0</v>
      </c>
      <c r="M232" s="428"/>
      <c r="N232" s="577">
        <f>N243+N254</f>
        <v>0</v>
      </c>
      <c r="O232" s="428"/>
      <c r="P232" s="428"/>
    </row>
    <row r="233" spans="1:16" ht="18.75" hidden="1" x14ac:dyDescent="0.25">
      <c r="A233" s="535"/>
      <c r="B233" s="419"/>
      <c r="C233" s="418"/>
      <c r="D233" s="293" t="s">
        <v>80</v>
      </c>
      <c r="E233" s="418"/>
      <c r="F233" s="418"/>
      <c r="G233" s="422"/>
      <c r="H233" s="576" t="s">
        <v>12</v>
      </c>
      <c r="I233" s="526"/>
      <c r="J233" s="526"/>
      <c r="K233" s="525"/>
      <c r="L233" s="425">
        <f ca="1">L244+L255</f>
        <v>0</v>
      </c>
      <c r="M233" s="428"/>
      <c r="N233" s="425">
        <f>N244+N255</f>
        <v>0</v>
      </c>
      <c r="O233" s="428"/>
      <c r="P233" s="428"/>
    </row>
    <row r="234" spans="1:16" ht="18.75" hidden="1" x14ac:dyDescent="0.25">
      <c r="A234" s="417"/>
      <c r="B234" s="419"/>
      <c r="C234" s="419"/>
      <c r="D234" s="293" t="s">
        <v>82</v>
      </c>
      <c r="E234" s="418"/>
      <c r="F234" s="418"/>
      <c r="G234" s="422"/>
      <c r="H234" s="576" t="s">
        <v>12</v>
      </c>
      <c r="I234" s="427"/>
      <c r="J234" s="427"/>
      <c r="K234" s="428"/>
      <c r="L234" s="425">
        <f ca="1">L245+L256</f>
        <v>0</v>
      </c>
      <c r="M234" s="428"/>
      <c r="N234" s="425">
        <f>N245+N256</f>
        <v>0</v>
      </c>
      <c r="O234" s="428"/>
      <c r="P234" s="428"/>
    </row>
    <row r="235" spans="1:16" ht="18.75" hidden="1" x14ac:dyDescent="0.25">
      <c r="A235" s="417"/>
      <c r="B235" s="419"/>
      <c r="C235" s="419"/>
      <c r="D235" s="293" t="s">
        <v>100</v>
      </c>
      <c r="E235" s="418"/>
      <c r="F235" s="418"/>
      <c r="G235" s="422"/>
      <c r="H235" s="576" t="s">
        <v>12</v>
      </c>
      <c r="I235" s="427"/>
      <c r="J235" s="427"/>
      <c r="K235" s="428"/>
      <c r="L235" s="425">
        <f ca="1">L246+L257</f>
        <v>0</v>
      </c>
      <c r="M235" s="428"/>
      <c r="N235" s="425">
        <f>N246+N257</f>
        <v>0</v>
      </c>
      <c r="O235" s="428"/>
      <c r="P235" s="428"/>
    </row>
    <row r="236" spans="1:16" ht="18.75" hidden="1" x14ac:dyDescent="0.25">
      <c r="A236" s="417"/>
      <c r="B236" s="419"/>
      <c r="C236" s="419"/>
      <c r="D236" s="293" t="s">
        <v>101</v>
      </c>
      <c r="E236" s="418"/>
      <c r="F236" s="418"/>
      <c r="G236" s="422"/>
      <c r="H236" s="576" t="s">
        <v>12</v>
      </c>
      <c r="I236" s="427"/>
      <c r="J236" s="427"/>
      <c r="K236" s="428"/>
      <c r="L236" s="425">
        <f ca="1">L247+L258</f>
        <v>0</v>
      </c>
      <c r="M236" s="428"/>
      <c r="N236" s="425">
        <f>N247+N258</f>
        <v>0</v>
      </c>
      <c r="O236" s="428"/>
      <c r="P236" s="428"/>
    </row>
    <row r="237" spans="1:16" ht="19.5" hidden="1" x14ac:dyDescent="0.3">
      <c r="A237" s="532"/>
      <c r="B237" s="430"/>
      <c r="C237" s="680" t="s">
        <v>16</v>
      </c>
      <c r="D237" s="569" t="s">
        <v>36</v>
      </c>
      <c r="E237" s="529"/>
      <c r="F237" s="529"/>
      <c r="G237" s="528"/>
      <c r="H237" s="527"/>
      <c r="I237" s="526"/>
      <c r="J237" s="427"/>
      <c r="K237" s="428"/>
      <c r="L237" s="428"/>
      <c r="M237" s="428"/>
      <c r="N237" s="428"/>
      <c r="O237" s="525"/>
      <c r="P237" s="525"/>
    </row>
    <row r="238" spans="1:16" ht="18.75" hidden="1" x14ac:dyDescent="0.25">
      <c r="A238" s="532"/>
      <c r="B238" s="430"/>
      <c r="C238" s="430"/>
      <c r="D238" s="421" t="s">
        <v>102</v>
      </c>
      <c r="E238" s="420"/>
      <c r="F238" s="420"/>
      <c r="G238" s="527"/>
      <c r="H238" s="566" t="s">
        <v>33</v>
      </c>
      <c r="I238" s="424">
        <f ca="1">I249+I260</f>
        <v>0</v>
      </c>
      <c r="J238" s="424">
        <f>J249+J260</f>
        <v>0</v>
      </c>
      <c r="K238" s="425">
        <f ca="1">IF(I238&gt;0,J238*100/I238,0)</f>
        <v>0</v>
      </c>
      <c r="L238" s="428"/>
      <c r="M238" s="428"/>
      <c r="N238" s="428"/>
      <c r="O238" s="428"/>
      <c r="P238" s="428"/>
    </row>
    <row r="239" spans="1:16" ht="18.75" hidden="1" x14ac:dyDescent="0.25">
      <c r="A239" s="532"/>
      <c r="B239" s="430"/>
      <c r="C239" s="430"/>
      <c r="D239" s="679" t="s">
        <v>41</v>
      </c>
      <c r="E239" s="420"/>
      <c r="F239" s="420"/>
      <c r="G239" s="527"/>
      <c r="H239" s="527"/>
      <c r="I239" s="427"/>
      <c r="J239" s="427"/>
      <c r="K239" s="428"/>
      <c r="L239" s="428"/>
      <c r="M239" s="428"/>
      <c r="N239" s="428"/>
      <c r="O239" s="525"/>
      <c r="P239" s="525"/>
    </row>
    <row r="240" spans="1:16" ht="18.75" hidden="1" x14ac:dyDescent="0.25">
      <c r="A240" s="532"/>
      <c r="B240" s="430"/>
      <c r="C240" s="430"/>
      <c r="D240" s="430"/>
      <c r="E240" s="567" t="s">
        <v>103</v>
      </c>
      <c r="F240" s="420"/>
      <c r="G240" s="527"/>
      <c r="H240" s="566" t="s">
        <v>33</v>
      </c>
      <c r="I240" s="424">
        <f>I251+I262</f>
        <v>0</v>
      </c>
      <c r="J240" s="424">
        <f>J251+J262</f>
        <v>0</v>
      </c>
      <c r="K240" s="425">
        <f>IF(I240&gt;0,J240*100/I240,0)</f>
        <v>0</v>
      </c>
      <c r="L240" s="428"/>
      <c r="M240" s="428"/>
      <c r="N240" s="428"/>
      <c r="O240" s="428"/>
      <c r="P240" s="428"/>
    </row>
    <row r="241" spans="1:16" ht="18.75" hidden="1" x14ac:dyDescent="0.25">
      <c r="A241" s="532"/>
      <c r="B241" s="430"/>
      <c r="C241" s="430"/>
      <c r="D241" s="430"/>
      <c r="E241" s="567" t="s">
        <v>104</v>
      </c>
      <c r="F241" s="420"/>
      <c r="G241" s="527"/>
      <c r="H241" s="566" t="s">
        <v>54</v>
      </c>
      <c r="I241" s="424">
        <f>I252+I263</f>
        <v>0</v>
      </c>
      <c r="J241" s="424">
        <f>J252+J263</f>
        <v>0</v>
      </c>
      <c r="K241" s="425">
        <f>IF(I241&gt;0,J241*100/I241,0)</f>
        <v>0</v>
      </c>
      <c r="L241" s="428"/>
      <c r="M241" s="428"/>
      <c r="N241" s="428"/>
      <c r="O241" s="428"/>
      <c r="P241" s="428"/>
    </row>
    <row r="242" spans="1:16" ht="19.5" hidden="1" x14ac:dyDescent="0.3">
      <c r="A242" s="432"/>
      <c r="B242" s="434"/>
      <c r="C242" s="678" t="s">
        <v>105</v>
      </c>
      <c r="D242" s="433"/>
      <c r="E242" s="433"/>
      <c r="F242" s="433"/>
      <c r="G242" s="436"/>
      <c r="H242" s="677" t="s">
        <v>33</v>
      </c>
      <c r="I242" s="676">
        <f ca="1">I249</f>
        <v>0</v>
      </c>
      <c r="J242" s="676">
        <f>J249</f>
        <v>0</v>
      </c>
      <c r="K242" s="675">
        <f ca="1">IF(I242&gt;0,J242*100/I242,0)</f>
        <v>0</v>
      </c>
      <c r="L242" s="571"/>
      <c r="M242" s="571"/>
      <c r="N242" s="571"/>
      <c r="O242" s="571"/>
      <c r="P242" s="571"/>
    </row>
    <row r="243" spans="1:16" ht="19.5" hidden="1" x14ac:dyDescent="0.3">
      <c r="A243" s="535"/>
      <c r="B243" s="418"/>
      <c r="C243" s="531" t="s">
        <v>16</v>
      </c>
      <c r="D243" s="541" t="s">
        <v>17</v>
      </c>
      <c r="E243" s="418"/>
      <c r="F243" s="418"/>
      <c r="G243" s="422"/>
      <c r="H243" s="673" t="s">
        <v>12</v>
      </c>
      <c r="I243" s="526"/>
      <c r="J243" s="526"/>
      <c r="K243" s="525"/>
      <c r="L243" s="539">
        <f ca="1">L244+L245+L246+L247</f>
        <v>0</v>
      </c>
      <c r="M243" s="428"/>
      <c r="N243" s="539">
        <f>N244+N245+N246+N247</f>
        <v>0</v>
      </c>
      <c r="O243" s="539">
        <f ca="1">IF(L243&gt;0,N243*100/L243,0)</f>
        <v>0</v>
      </c>
      <c r="P243" s="539">
        <f>IF(M243&gt;0,N243*100/M243,0)</f>
        <v>0</v>
      </c>
    </row>
    <row r="244" spans="1:16" ht="18.75" hidden="1" x14ac:dyDescent="0.25">
      <c r="A244" s="535"/>
      <c r="B244" s="419"/>
      <c r="C244" s="418"/>
      <c r="D244" s="534" t="s">
        <v>80</v>
      </c>
      <c r="E244" s="418"/>
      <c r="F244" s="418"/>
      <c r="G244" s="422"/>
      <c r="H244" s="536" t="s">
        <v>12</v>
      </c>
      <c r="I244" s="526"/>
      <c r="J244" s="526"/>
      <c r="K244" s="525"/>
      <c r="L244" s="521">
        <f ca="1">IFERROR(__xludf.DUMMYFUNCTION("IMPORTRANGE(""https://docs.google.com/spreadsheets/d/1eHaY18a8A9IcSdp1K8H6x8fbOy06t2VsZHhMHf-1x7Y/edit?usp=sharing"",""แผน!AX38"")"),0)</f>
        <v>0</v>
      </c>
      <c r="M244" s="428"/>
      <c r="N244" s="672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34" t="s">
        <v>82</v>
      </c>
      <c r="E245" s="418"/>
      <c r="F245" s="418"/>
      <c r="G245" s="422"/>
      <c r="H245" s="536" t="s">
        <v>12</v>
      </c>
      <c r="I245" s="427"/>
      <c r="J245" s="427"/>
      <c r="K245" s="428"/>
      <c r="L245" s="521">
        <f ca="1">IFERROR(__xludf.DUMMYFUNCTION("IMPORTRANGE(""https://docs.google.com/spreadsheets/d/1eHaY18a8A9IcSdp1K8H6x8fbOy06t2VsZHhMHf-1x7Y/edit?usp=sharing"",""แผน!AY38"")"),0)</f>
        <v>0</v>
      </c>
      <c r="M245" s="428"/>
      <c r="N245" s="672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34" t="s">
        <v>100</v>
      </c>
      <c r="E246" s="418"/>
      <c r="F246" s="418"/>
      <c r="G246" s="422"/>
      <c r="H246" s="536" t="s">
        <v>12</v>
      </c>
      <c r="I246" s="427"/>
      <c r="J246" s="427"/>
      <c r="K246" s="428"/>
      <c r="L246" s="521">
        <f ca="1">IFERROR(__xludf.DUMMYFUNCTION("IMPORTRANGE(""https://docs.google.com/spreadsheets/d/1eHaY18a8A9IcSdp1K8H6x8fbOy06t2VsZHhMHf-1x7Y/edit?usp=sharing"",""แผน!AZ38"")"),0)</f>
        <v>0</v>
      </c>
      <c r="M246" s="428"/>
      <c r="N246" s="672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34" t="s">
        <v>101</v>
      </c>
      <c r="E247" s="418"/>
      <c r="F247" s="418"/>
      <c r="G247" s="422"/>
      <c r="H247" s="536" t="s">
        <v>12</v>
      </c>
      <c r="I247" s="427"/>
      <c r="J247" s="427"/>
      <c r="K247" s="428"/>
      <c r="L247" s="521">
        <f ca="1">IFERROR(__xludf.DUMMYFUNCTION("IMPORTRANGE(""https://docs.google.com/spreadsheets/d/1eHaY18a8A9IcSdp1K8H6x8fbOy06t2VsZHhMHf-1x7Y/edit?usp=sharing"",""แผน!BA38"")"),0)</f>
        <v>0</v>
      </c>
      <c r="M247" s="428"/>
      <c r="N247" s="672">
        <v>0</v>
      </c>
      <c r="O247" s="428"/>
      <c r="P247" s="428"/>
    </row>
    <row r="248" spans="1:16" ht="19.5" hidden="1" x14ac:dyDescent="0.3">
      <c r="A248" s="532"/>
      <c r="B248" s="430"/>
      <c r="C248" s="671" t="s">
        <v>16</v>
      </c>
      <c r="D248" s="530" t="s">
        <v>36</v>
      </c>
      <c r="E248" s="529"/>
      <c r="F248" s="529"/>
      <c r="G248" s="528"/>
      <c r="H248" s="527"/>
      <c r="I248" s="526"/>
      <c r="J248" s="427"/>
      <c r="K248" s="428"/>
      <c r="L248" s="428"/>
      <c r="M248" s="428"/>
      <c r="N248" s="428"/>
      <c r="O248" s="525"/>
      <c r="P248" s="525"/>
    </row>
    <row r="249" spans="1:16" ht="18.75" hidden="1" x14ac:dyDescent="0.25">
      <c r="A249" s="532"/>
      <c r="B249" s="430"/>
      <c r="C249" s="430"/>
      <c r="D249" s="524" t="s">
        <v>102</v>
      </c>
      <c r="E249" s="420"/>
      <c r="F249" s="420"/>
      <c r="G249" s="527"/>
      <c r="H249" s="668" t="s">
        <v>33</v>
      </c>
      <c r="I249" s="199">
        <f ca="1">IFERROR(__xludf.DUMMYFUNCTION("IMPORTRANGE(""https://docs.google.com/spreadsheets/d/1eHaY18a8A9IcSdp1K8H6x8fbOy06t2VsZHhMHf-1x7Y/edit?usp=sharing"",""แผน!BG38"")"),0)</f>
        <v>0</v>
      </c>
      <c r="J249" s="522">
        <v>0</v>
      </c>
      <c r="K249" s="521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2"/>
      <c r="B250" s="430"/>
      <c r="C250" s="430"/>
      <c r="D250" s="670" t="s">
        <v>41</v>
      </c>
      <c r="E250" s="420"/>
      <c r="F250" s="420"/>
      <c r="G250" s="527"/>
      <c r="H250" s="527"/>
      <c r="I250" s="427"/>
      <c r="J250" s="427"/>
      <c r="K250" s="428"/>
      <c r="L250" s="428"/>
      <c r="M250" s="428"/>
      <c r="N250" s="428"/>
      <c r="O250" s="525"/>
      <c r="P250" s="525"/>
    </row>
    <row r="251" spans="1:16" ht="18.75" hidden="1" x14ac:dyDescent="0.25">
      <c r="A251" s="532"/>
      <c r="B251" s="430"/>
      <c r="C251" s="430"/>
      <c r="D251" s="430"/>
      <c r="E251" s="669" t="s">
        <v>103</v>
      </c>
      <c r="F251" s="420"/>
      <c r="G251" s="527"/>
      <c r="H251" s="668" t="s">
        <v>33</v>
      </c>
      <c r="I251" s="199">
        <v>0</v>
      </c>
      <c r="J251" s="522">
        <v>0</v>
      </c>
      <c r="K251" s="521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2"/>
      <c r="B252" s="430"/>
      <c r="C252" s="430"/>
      <c r="D252" s="430"/>
      <c r="E252" s="669" t="s">
        <v>104</v>
      </c>
      <c r="F252" s="420"/>
      <c r="G252" s="527"/>
      <c r="H252" s="668" t="s">
        <v>54</v>
      </c>
      <c r="I252" s="199">
        <v>0</v>
      </c>
      <c r="J252" s="522">
        <v>0</v>
      </c>
      <c r="K252" s="521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78" t="s">
        <v>106</v>
      </c>
      <c r="D253" s="433"/>
      <c r="E253" s="433"/>
      <c r="F253" s="433"/>
      <c r="G253" s="436"/>
      <c r="H253" s="677" t="s">
        <v>33</v>
      </c>
      <c r="I253" s="676">
        <f ca="1">I260</f>
        <v>0</v>
      </c>
      <c r="J253" s="676">
        <f>J260</f>
        <v>0</v>
      </c>
      <c r="K253" s="675">
        <f ca="1">IF(I253&gt;0,J253*100/I253,0)</f>
        <v>0</v>
      </c>
      <c r="L253" s="571"/>
      <c r="M253" s="571"/>
      <c r="N253" s="571"/>
      <c r="O253" s="571"/>
      <c r="P253" s="571"/>
    </row>
    <row r="254" spans="1:16" ht="19.5" hidden="1" x14ac:dyDescent="0.3">
      <c r="A254" s="535"/>
      <c r="B254" s="418"/>
      <c r="C254" s="531" t="s">
        <v>16</v>
      </c>
      <c r="D254" s="674" t="s">
        <v>17</v>
      </c>
      <c r="E254" s="418"/>
      <c r="F254" s="418"/>
      <c r="G254" s="422"/>
      <c r="H254" s="673" t="s">
        <v>12</v>
      </c>
      <c r="I254" s="526"/>
      <c r="J254" s="526"/>
      <c r="K254" s="525"/>
      <c r="L254" s="539">
        <f ca="1">L255+L256+L257+L258</f>
        <v>0</v>
      </c>
      <c r="M254" s="428"/>
      <c r="N254" s="539">
        <f>N255+N256+N257+N258</f>
        <v>0</v>
      </c>
      <c r="O254" s="539">
        <f ca="1">IF(L254&gt;0,N254*100/L254,0)</f>
        <v>0</v>
      </c>
      <c r="P254" s="539">
        <f>IF(M254&gt;0,N254*100/M254,0)</f>
        <v>0</v>
      </c>
    </row>
    <row r="255" spans="1:16" ht="18.75" hidden="1" x14ac:dyDescent="0.25">
      <c r="A255" s="535"/>
      <c r="B255" s="419"/>
      <c r="C255" s="418"/>
      <c r="D255" s="534" t="s">
        <v>80</v>
      </c>
      <c r="E255" s="418"/>
      <c r="F255" s="418"/>
      <c r="G255" s="422"/>
      <c r="H255" s="536" t="s">
        <v>12</v>
      </c>
      <c r="I255" s="526"/>
      <c r="J255" s="526"/>
      <c r="K255" s="525"/>
      <c r="L255" s="521">
        <f ca="1">IFERROR(__xludf.DUMMYFUNCTION("IMPORTRANGE(""https://docs.google.com/spreadsheets/d/1eHaY18a8A9IcSdp1K8H6x8fbOy06t2VsZHhMHf-1x7Y/edit?usp=sharing"",""แผน!BB38"")"),0)</f>
        <v>0</v>
      </c>
      <c r="M255" s="428"/>
      <c r="N255" s="672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34" t="s">
        <v>82</v>
      </c>
      <c r="E256" s="418"/>
      <c r="F256" s="418"/>
      <c r="G256" s="422"/>
      <c r="H256" s="536" t="s">
        <v>12</v>
      </c>
      <c r="I256" s="427"/>
      <c r="J256" s="427"/>
      <c r="K256" s="428"/>
      <c r="L256" s="521">
        <f ca="1">IFERROR(__xludf.DUMMYFUNCTION("IMPORTRANGE(""https://docs.google.com/spreadsheets/d/1eHaY18a8A9IcSdp1K8H6x8fbOy06t2VsZHhMHf-1x7Y/edit?usp=sharing"",""แผน!BC38"")"),0)</f>
        <v>0</v>
      </c>
      <c r="M256" s="428"/>
      <c r="N256" s="672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34" t="s">
        <v>100</v>
      </c>
      <c r="E257" s="418"/>
      <c r="F257" s="418"/>
      <c r="G257" s="422"/>
      <c r="H257" s="536" t="s">
        <v>12</v>
      </c>
      <c r="I257" s="427"/>
      <c r="J257" s="427"/>
      <c r="K257" s="428"/>
      <c r="L257" s="521">
        <f ca="1">IFERROR(__xludf.DUMMYFUNCTION("IMPORTRANGE(""https://docs.google.com/spreadsheets/d/1eHaY18a8A9IcSdp1K8H6x8fbOy06t2VsZHhMHf-1x7Y/edit?usp=sharing"",""แผน!BD38"")"),0)</f>
        <v>0</v>
      </c>
      <c r="M257" s="428"/>
      <c r="N257" s="672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34" t="s">
        <v>101</v>
      </c>
      <c r="E258" s="418"/>
      <c r="F258" s="418"/>
      <c r="G258" s="422"/>
      <c r="H258" s="536" t="s">
        <v>12</v>
      </c>
      <c r="I258" s="427"/>
      <c r="J258" s="427"/>
      <c r="K258" s="428"/>
      <c r="L258" s="521">
        <f ca="1">IFERROR(__xludf.DUMMYFUNCTION("IMPORTRANGE(""https://docs.google.com/spreadsheets/d/1eHaY18a8A9IcSdp1K8H6x8fbOy06t2VsZHhMHf-1x7Y/edit?usp=sharing"",""แผน!BE38"")"),0)</f>
        <v>0</v>
      </c>
      <c r="M258" s="428"/>
      <c r="N258" s="672">
        <v>0</v>
      </c>
      <c r="O258" s="428"/>
      <c r="P258" s="428"/>
    </row>
    <row r="259" spans="1:16" ht="19.5" hidden="1" x14ac:dyDescent="0.3">
      <c r="A259" s="532"/>
      <c r="B259" s="430"/>
      <c r="C259" s="671" t="s">
        <v>16</v>
      </c>
      <c r="D259" s="530" t="s">
        <v>36</v>
      </c>
      <c r="E259" s="529"/>
      <c r="F259" s="529"/>
      <c r="G259" s="528"/>
      <c r="H259" s="527"/>
      <c r="I259" s="526"/>
      <c r="J259" s="427"/>
      <c r="K259" s="428"/>
      <c r="L259" s="428"/>
      <c r="M259" s="428"/>
      <c r="N259" s="428"/>
      <c r="O259" s="525"/>
      <c r="P259" s="525"/>
    </row>
    <row r="260" spans="1:16" ht="18.75" hidden="1" x14ac:dyDescent="0.25">
      <c r="A260" s="532"/>
      <c r="B260" s="430"/>
      <c r="C260" s="430"/>
      <c r="D260" s="524" t="s">
        <v>102</v>
      </c>
      <c r="E260" s="420"/>
      <c r="F260" s="420"/>
      <c r="G260" s="527"/>
      <c r="H260" s="668" t="s">
        <v>33</v>
      </c>
      <c r="I260" s="199">
        <f ca="1">IFERROR(__xludf.DUMMYFUNCTION("IMPORTRANGE(""https://docs.google.com/spreadsheets/d/1eHaY18a8A9IcSdp1K8H6x8fbOy06t2VsZHhMHf-1x7Y/edit?usp=sharing"",""แผน!BH38"")"),0)</f>
        <v>0</v>
      </c>
      <c r="J260" s="522">
        <v>0</v>
      </c>
      <c r="K260" s="521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2"/>
      <c r="B261" s="430"/>
      <c r="C261" s="430"/>
      <c r="D261" s="670" t="s">
        <v>41</v>
      </c>
      <c r="E261" s="420"/>
      <c r="F261" s="420"/>
      <c r="G261" s="527"/>
      <c r="H261" s="527"/>
      <c r="I261" s="427"/>
      <c r="J261" s="427"/>
      <c r="K261" s="428"/>
      <c r="L261" s="428"/>
      <c r="M261" s="428"/>
      <c r="N261" s="428"/>
      <c r="O261" s="525"/>
      <c r="P261" s="525"/>
    </row>
    <row r="262" spans="1:16" ht="18.75" hidden="1" x14ac:dyDescent="0.25">
      <c r="A262" s="532"/>
      <c r="B262" s="430"/>
      <c r="C262" s="430"/>
      <c r="D262" s="430"/>
      <c r="E262" s="669" t="s">
        <v>103</v>
      </c>
      <c r="F262" s="420"/>
      <c r="G262" s="527"/>
      <c r="H262" s="668" t="s">
        <v>33</v>
      </c>
      <c r="I262" s="427"/>
      <c r="J262" s="522">
        <v>0</v>
      </c>
      <c r="K262" s="521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2"/>
      <c r="B263" s="430"/>
      <c r="C263" s="430"/>
      <c r="D263" s="430"/>
      <c r="E263" s="669" t="s">
        <v>104</v>
      </c>
      <c r="F263" s="420"/>
      <c r="G263" s="527"/>
      <c r="H263" s="668" t="s">
        <v>54</v>
      </c>
      <c r="I263" s="427"/>
      <c r="J263" s="522">
        <v>0</v>
      </c>
      <c r="K263" s="521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IFERROR(__xludf.DUMMYFUNCTION("IMPORTRANGE(""https://docs.google.com/spreadsheets/d/1-uDff_7J0KD5mKrp0Vvzr7lt3OU09vwQwhkpOPPYv2Y/edit?usp=sharing"",""งบพรบ!DE38"")"),0)</f>
        <v>0</v>
      </c>
      <c r="M271" s="521">
        <f ca="1">IFERROR(__xludf.DUMMYFUNCTION("IMPORTRANGE(""https://docs.google.com/spreadsheets/d/1-uDff_7J0KD5mKrp0Vvzr7lt3OU09vwQwhkpOPPYv2Y/edit?usp=sharing"",""งบพรบ!DJ38"")"),0)</f>
        <v>0</v>
      </c>
      <c r="N271" s="521">
        <f ca="1">IFERROR(__xludf.DUMMYFUNCTION("IMPORTRANGE(""https://docs.google.com/spreadsheets/d/1-uDff_7J0KD5mKrp0Vvzr7lt3OU09vwQwhkpOPPYv2Y/edit?usp=sharing"",""งบพรบ!DL38"")"),0)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IFERROR(__xludf.DUMMYFUNCTION("IMPORTRANGE(""https://docs.google.com/spreadsheets/d/1-uDff_7J0KD5mKrp0Vvzr7lt3OU09vwQwhkpOPPYv2Y/edit?usp=sharing"",""งบพรบ!DH38"")"),0)</f>
        <v>0</v>
      </c>
      <c r="M274" s="521">
        <f ca="1">IFERROR(__xludf.DUMMYFUNCTION("IMPORTRANGE(""https://docs.google.com/spreadsheets/d/1-uDff_7J0KD5mKrp0Vvzr7lt3OU09vwQwhkpOPPYv2Y/edit?usp=sharing"",""งบพรบ!DK38"")"),0)</f>
        <v>0</v>
      </c>
      <c r="N274" s="521">
        <f ca="1">IFERROR(__xludf.DUMMYFUNCTION("IMPORTRANGE(""https://docs.google.com/spreadsheets/d/1-uDff_7J0KD5mKrp0Vvzr7lt3OU09vwQwhkpOPPYv2Y/edit?usp=sharing"",""งบพรบ!DM38"")"),0)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hidden="1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hidden="1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hidden="1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0</v>
      </c>
      <c r="J280" s="629">
        <f>J293</f>
        <v>0</v>
      </c>
      <c r="K280" s="628">
        <f ca="1">IF(I280&gt;0,J280*100/I280,0)</f>
        <v>0</v>
      </c>
      <c r="L280" s="627"/>
      <c r="M280" s="627"/>
      <c r="N280" s="627"/>
      <c r="O280" s="627"/>
      <c r="P280" s="627"/>
    </row>
    <row r="281" spans="1:16" ht="19.5" hidden="1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0</v>
      </c>
      <c r="J281" s="629">
        <f>J292</f>
        <v>0</v>
      </c>
      <c r="K281" s="628">
        <f ca="1">IF(I281&gt;0,J281*100/I281,0)</f>
        <v>0</v>
      </c>
      <c r="L281" s="627"/>
      <c r="M281" s="627"/>
      <c r="N281" s="627"/>
      <c r="O281" s="627"/>
      <c r="P281" s="627"/>
    </row>
    <row r="282" spans="1:16" ht="19.5" hidden="1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0</v>
      </c>
      <c r="M282" s="577">
        <f ca="1">M283+M284</f>
        <v>0</v>
      </c>
      <c r="N282" s="577">
        <f ca="1">N283+N284</f>
        <v>0</v>
      </c>
      <c r="O282" s="577">
        <f ca="1">IF(L282&gt;0,N282*100/L282,0)</f>
        <v>0</v>
      </c>
      <c r="P282" s="577">
        <f ca="1">IF(M282&gt;0,N282*100/M282,0)</f>
        <v>0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hidden="1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0</v>
      </c>
      <c r="M284" s="425">
        <f ca="1">M287+M290</f>
        <v>0</v>
      </c>
      <c r="N284" s="425">
        <f ca="1">N287+N290</f>
        <v>0</v>
      </c>
      <c r="O284" s="425">
        <f ca="1">IF(L284&gt;0,N284*100/L284,0)</f>
        <v>0</v>
      </c>
      <c r="P284" s="425">
        <f ca="1">IF(M284&gt;0,N284*100/M284,0)</f>
        <v>0</v>
      </c>
    </row>
    <row r="285" spans="1:16" ht="18.75" hidden="1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0</v>
      </c>
      <c r="M285" s="425">
        <f ca="1">M286+M287</f>
        <v>0</v>
      </c>
      <c r="N285" s="425">
        <f ca="1">N286+N287</f>
        <v>0</v>
      </c>
      <c r="O285" s="425">
        <f ca="1">IF(L285&gt;0,N285*100/L285,0)</f>
        <v>0</v>
      </c>
      <c r="P285" s="425">
        <f ca="1">IF(M285&gt;0,N285*100/M285,0)</f>
        <v>0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hidden="1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IFERROR(__xludf.DUMMYFUNCTION("IMPORTRANGE(""https://docs.google.com/spreadsheets/d/1-uDff_7J0KD5mKrp0Vvzr7lt3OU09vwQwhkpOPPYv2Y/edit?usp=sharing"",""งบพรบ!DO38"")"),0)</f>
        <v>0</v>
      </c>
      <c r="M287" s="425">
        <f ca="1">IFERROR(__xludf.DUMMYFUNCTION("IMPORTRANGE(""https://docs.google.com/spreadsheets/d/1-uDff_7J0KD5mKrp0Vvzr7lt3OU09vwQwhkpOPPYv2Y/edit?usp=sharing"",""งบพรบ!DT38"")"),0)</f>
        <v>0</v>
      </c>
      <c r="N287" s="425">
        <f ca="1">IFERROR(__xludf.DUMMYFUNCTION("IMPORTRANGE(""https://docs.google.com/spreadsheets/d/1-uDff_7J0KD5mKrp0Vvzr7lt3OU09vwQwhkpOPPYv2Y/edit?usp=sharing"",""งบพรบ!DV38"")"),0)</f>
        <v>0</v>
      </c>
      <c r="O287" s="425">
        <f ca="1">IF(L287&gt;0,N287*100/L287,0)</f>
        <v>0</v>
      </c>
      <c r="P287" s="425">
        <f ca="1">IF(M287&gt;0,N287*100/M287,0)</f>
        <v>0</v>
      </c>
    </row>
    <row r="288" spans="1:16" ht="18.75" hidden="1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hidden="1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IFERROR(__xludf.DUMMYFUNCTION("IMPORTRANGE(""https://docs.google.com/spreadsheets/d/1-uDff_7J0KD5mKrp0Vvzr7lt3OU09vwQwhkpOPPYv2Y/edit?usp=sharing"",""งบพรบ!DR38"")"),0)</f>
        <v>0</v>
      </c>
      <c r="M290" s="425">
        <f ca="1">IFERROR(__xludf.DUMMYFUNCTION("IMPORTRANGE(""https://docs.google.com/spreadsheets/d/1-uDff_7J0KD5mKrp0Vvzr7lt3OU09vwQwhkpOPPYv2Y/edit?usp=sharing"",""งบพรบ!DU38"")"),0)</f>
        <v>0</v>
      </c>
      <c r="N290" s="425">
        <f ca="1">IFERROR(__xludf.DUMMYFUNCTION("IMPORTRANGE(""https://docs.google.com/spreadsheets/d/1-uDff_7J0KD5mKrp0Vvzr7lt3OU09vwQwhkpOPPYv2Y/edit?usp=sharing"",""งบพรบ!DW38"")"),0)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hidden="1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hidden="1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IFERROR(__xludf.DUMMYFUNCTION("IMPORTRANGE(""https://docs.google.com/spreadsheets/d/1eHaY18a8A9IcSdp1K8H6x8fbOy06t2VsZHhMHf-1x7Y/edit?usp=sharing"",""แผน!EE38"")"),0)</f>
        <v>0</v>
      </c>
      <c r="J292" s="595">
        <v>0</v>
      </c>
      <c r="K292" s="621">
        <f ca="1">IF(I292&gt;0,J292*100/I292,0)</f>
        <v>0</v>
      </c>
      <c r="L292" s="525"/>
      <c r="M292" s="525"/>
      <c r="N292" s="525"/>
      <c r="O292" s="525"/>
      <c r="P292" s="525"/>
    </row>
    <row r="293" spans="1:16" ht="19.5" hidden="1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IFERROR(__xludf.DUMMYFUNCTION("IMPORTRANGE(""https://docs.google.com/spreadsheets/d/1eHaY18a8A9IcSdp1K8H6x8fbOy06t2VsZHhMHf-1x7Y/edit?usp=sharing"",""แผน!ED38"")"),0)</f>
        <v>0</v>
      </c>
      <c r="J293" s="625">
        <f>J296</f>
        <v>0</v>
      </c>
      <c r="K293" s="624">
        <f ca="1">IF(I293&gt;0,J293*100/I293,0)</f>
        <v>0</v>
      </c>
      <c r="L293" s="525"/>
      <c r="M293" s="525"/>
      <c r="N293" s="525"/>
      <c r="O293" s="525"/>
      <c r="P293" s="525"/>
    </row>
    <row r="294" spans="1:16" ht="19.5" hidden="1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hidden="1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IFERROR(__xludf.DUMMYFUNCTION("IMPORTRANGE(""https://docs.google.com/spreadsheets/d/1eHaY18a8A9IcSdp1K8H6x8fbOy06t2VsZHhMHf-1x7Y/edit?usp=sharing"",""แผน!ED38"")"),0)</f>
        <v>0</v>
      </c>
      <c r="J295" s="595">
        <v>0</v>
      </c>
      <c r="K295" s="621">
        <f ca="1">IF(I295&gt;0,J295*100/I295,0)</f>
        <v>0</v>
      </c>
      <c r="L295" s="525"/>
      <c r="M295" s="525"/>
      <c r="N295" s="525"/>
      <c r="O295" s="525"/>
      <c r="P295" s="525"/>
    </row>
    <row r="296" spans="1:16" ht="19.5" hidden="1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IFERROR(__xludf.DUMMYFUNCTION("IMPORTRANGE(""https://docs.google.com/spreadsheets/d/1eHaY18a8A9IcSdp1K8H6x8fbOy06t2VsZHhMHf-1x7Y/edit?usp=sharing"",""แผน!ED38"")"),0)</f>
        <v>0</v>
      </c>
      <c r="J296" s="595">
        <v>0</v>
      </c>
      <c r="K296" s="621">
        <f ca="1">IF(I296&gt;0,J296*100/I296,0)</f>
        <v>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25</v>
      </c>
      <c r="J302" s="598">
        <f>J314</f>
        <v>0</v>
      </c>
      <c r="K302" s="597">
        <f ca="1">IF(I302&gt;0,J302*100/I302,0)</f>
        <v>0</v>
      </c>
      <c r="L302" s="580"/>
      <c r="M302" s="580"/>
      <c r="N302" s="580"/>
      <c r="O302" s="580"/>
      <c r="P302" s="580"/>
    </row>
    <row r="303" spans="1:16" ht="19.5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305400</v>
      </c>
      <c r="M303" s="577">
        <f ca="1">M304+M305</f>
        <v>224500</v>
      </c>
      <c r="N303" s="577">
        <f ca="1">N304+N305</f>
        <v>61633.33</v>
      </c>
      <c r="O303" s="577">
        <f ca="1">IF(L303&gt;0,N303*100/L303,0)</f>
        <v>20.181182056319582</v>
      </c>
      <c r="P303" s="577">
        <f ca="1">IF(M303&gt;0,N303*100/M303,0)</f>
        <v>27.453599109131403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305400</v>
      </c>
      <c r="M305" s="425">
        <f ca="1">M308+M311</f>
        <v>224500</v>
      </c>
      <c r="N305" s="425">
        <f ca="1">N308+N311</f>
        <v>61633.33</v>
      </c>
      <c r="O305" s="425">
        <f ca="1">IF(L305&gt;0,N305*100/L305,0)</f>
        <v>20.181182056319582</v>
      </c>
      <c r="P305" s="425">
        <f ca="1">IF(M305&gt;0,N305*100/M305,0)</f>
        <v>27.453599109131403</v>
      </c>
    </row>
    <row r="306" spans="1:16" ht="18.75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305400</v>
      </c>
      <c r="M306" s="425">
        <f ca="1">M307+M308</f>
        <v>224500</v>
      </c>
      <c r="N306" s="425">
        <f ca="1">N307+N308</f>
        <v>61633.33</v>
      </c>
      <c r="O306" s="425">
        <f ca="1">IF(L306&gt;0,N306*100/L306,0)</f>
        <v>20.181182056319582</v>
      </c>
      <c r="P306" s="425">
        <f ca="1">IF(M306&gt;0,N306*100/M306,0)</f>
        <v>27.453599109131403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IFERROR(__xludf.DUMMYFUNCTION("IMPORTRANGE(""https://docs.google.com/spreadsheets/d/1-uDff_7J0KD5mKrp0Vvzr7lt3OU09vwQwhkpOPPYv2Y/edit?usp=sharing"",""งบพรบ!DY38"")"),305400)</f>
        <v>305400</v>
      </c>
      <c r="M308" s="425">
        <f ca="1">IFERROR(__xludf.DUMMYFUNCTION("IMPORTRANGE(""https://docs.google.com/spreadsheets/d/1-uDff_7J0KD5mKrp0Vvzr7lt3OU09vwQwhkpOPPYv2Y/edit?usp=sharing"",""งบพรบ!ED38"")"),224500)</f>
        <v>224500</v>
      </c>
      <c r="N308" s="425">
        <f ca="1">IFERROR(__xludf.DUMMYFUNCTION("IMPORTRANGE(""https://docs.google.com/spreadsheets/d/1-uDff_7J0KD5mKrp0Vvzr7lt3OU09vwQwhkpOPPYv2Y/edit?usp=sharing"",""งบพรบ!EF38"")"),61633.33)</f>
        <v>61633.33</v>
      </c>
      <c r="O308" s="425">
        <f ca="1">IF(L308&gt;0,N308*100/L308,0)</f>
        <v>20.181182056319582</v>
      </c>
      <c r="P308" s="425">
        <f ca="1">IF(M308&gt;0,N308*100/M308,0)</f>
        <v>27.453599109131403</v>
      </c>
    </row>
    <row r="309" spans="1:16" ht="18.75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IFERROR(__xludf.DUMMYFUNCTION("IMPORTRANGE(""https://docs.google.com/spreadsheets/d/1-uDff_7J0KD5mKrp0Vvzr7lt3OU09vwQwhkpOPPYv2Y/edit?usp=sharing"",""งบพรบ!EB38"")"),0)</f>
        <v>0</v>
      </c>
      <c r="M311" s="425">
        <f ca="1">IFERROR(__xludf.DUMMYFUNCTION("IMPORTRANGE(""https://docs.google.com/spreadsheets/d/1-uDff_7J0KD5mKrp0Vvzr7lt3OU09vwQwhkpOPPYv2Y/edit?usp=sharing"",""งบพรบ!EE38"")"),0)</f>
        <v>0</v>
      </c>
      <c r="N311" s="425">
        <f ca="1">IFERROR(__xludf.DUMMYFUNCTION("IMPORTRANGE(""https://docs.google.com/spreadsheets/d/1-uDff_7J0KD5mKrp0Vvzr7lt3OU09vwQwhkpOPPYv2Y/edit?usp=sharing"",""งบพรบ!EG38"")"),0)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0</v>
      </c>
      <c r="K313" s="428"/>
      <c r="L313" s="428"/>
      <c r="M313" s="428"/>
      <c r="N313" s="428"/>
      <c r="O313" s="428"/>
      <c r="P313" s="428"/>
    </row>
    <row r="314" spans="1:16" ht="18.75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IFERROR(__xludf.DUMMYFUNCTION("IMPORTRANGE(""https://docs.google.com/spreadsheets/d/1eHaY18a8A9IcSdp1K8H6x8fbOy06t2VsZHhMHf-1x7Y/edit?usp=sharing"",""แผน!EF38"")"),25)</f>
        <v>25</v>
      </c>
      <c r="J314" s="595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IFERROR(__xludf.DUMMYFUNCTION("IMPORTRANGE(""https://docs.google.com/spreadsheets/d/1eHaY18a8A9IcSdp1K8H6x8fbOy06t2VsZHhMHf-1x7Y/edit?usp=sharing"",""แผน!EG38"")"),5)</f>
        <v>5</v>
      </c>
      <c r="J315" s="595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IFERROR(__xludf.DUMMYFUNCTION("IMPORTRANGE(""https://docs.google.com/spreadsheets/d/1eHaY18a8A9IcSdp1K8H6x8fbOy06t2VsZHhMHf-1x7Y/edit?usp=sharing"",""แผน!EH38"")"),25)</f>
        <v>25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424">
        <f ca="1">IFERROR(__xludf.DUMMYFUNCTION("IMPORTRANGE(""https://docs.google.com/spreadsheets/d/1eHaY18a8A9IcSdp1K8H6x8fbOy06t2VsZHhMHf-1x7Y/edit?usp=sharing"",""แผน!EI38"")"),5)</f>
        <v>5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hidden="1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0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hidden="1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0</v>
      </c>
      <c r="M320" s="577">
        <f ca="1">M321+M322</f>
        <v>0</v>
      </c>
      <c r="N320" s="577">
        <f ca="1">N321+N322</f>
        <v>0</v>
      </c>
      <c r="O320" s="577">
        <f ca="1">IF(L320&gt;0,N320*100/L320,0)</f>
        <v>0</v>
      </c>
      <c r="P320" s="577">
        <f ca="1">IF(M320&gt;0,N320*100/M320,0)</f>
        <v>0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hidden="1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hidden="1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IFERROR(__xludf.DUMMYFUNCTION("IMPORTRANGE(""https://docs.google.com/spreadsheets/d/1-uDff_7J0KD5mKrp0Vvzr7lt3OU09vwQwhkpOPPYv2Y/edit?usp=sharing"",""งบพรบ!EI38"")"),0)</f>
        <v>0</v>
      </c>
      <c r="M325" s="425">
        <f ca="1">IFERROR(__xludf.DUMMYFUNCTION("IMPORTRANGE(""https://docs.google.com/spreadsheets/d/1-uDff_7J0KD5mKrp0Vvzr7lt3OU09vwQwhkpOPPYv2Y/edit?usp=sharing"",""งบพรบ!EN38"")"),0)</f>
        <v>0</v>
      </c>
      <c r="N325" s="425">
        <f ca="1">IFERROR(__xludf.DUMMYFUNCTION("IMPORTRANGE(""https://docs.google.com/spreadsheets/d/1-uDff_7J0KD5mKrp0Vvzr7lt3OU09vwQwhkpOPPYv2Y/edit?usp=sharing"",""งบพรบ!EP38"")"),0)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hidden="1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IFERROR(__xludf.DUMMYFUNCTION("IMPORTRANGE(""https://docs.google.com/spreadsheets/d/1-uDff_7J0KD5mKrp0Vvzr7lt3OU09vwQwhkpOPPYv2Y/edit?usp=sharing"",""งบพรบ!EL38"")"),0)</f>
        <v>0</v>
      </c>
      <c r="M328" s="425">
        <f ca="1">IFERROR(__xludf.DUMMYFUNCTION("IMPORTRANGE(""https://docs.google.com/spreadsheets/d/1-uDff_7J0KD5mKrp0Vvzr7lt3OU09vwQwhkpOPPYv2Y/edit?usp=sharing"",""งบพรบ!EO38"")"),0)</f>
        <v>0</v>
      </c>
      <c r="N328" s="425">
        <f ca="1">IFERROR(__xludf.DUMMYFUNCTION("IMPORTRANGE(""https://docs.google.com/spreadsheets/d/1-uDff_7J0KD5mKrp0Vvzr7lt3OU09vwQwhkpOPPYv2Y/edit?usp=sharing"",""งบพรบ!EQ38"")"),0)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hidden="1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IFERROR(__xludf.DUMMYFUNCTION("IMPORTRANGE(""https://docs.google.com/spreadsheets/d/1eHaY18a8A9IcSdp1K8H6x8fbOy06t2VsZHhMHf-1x7Y/edit?usp=sharing"",""แผน!EJ38"")"),0)</f>
        <v>0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4200</v>
      </c>
      <c r="J332" s="402">
        <f ca="1">J344+J347+J348+J349+J353</f>
        <v>4077</v>
      </c>
      <c r="K332" s="403">
        <f ca="1">IF(I332&gt;0,J332*100/I332,0)</f>
        <v>97.071428571428569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180500</v>
      </c>
      <c r="M333" s="577">
        <f ca="1">M334+M335</f>
        <v>138050</v>
      </c>
      <c r="N333" s="577">
        <f ca="1">N334+N335</f>
        <v>41320</v>
      </c>
      <c r="O333" s="577">
        <f ca="1">IF(L333&gt;0,N333*100/L333,0)</f>
        <v>22.89196675900277</v>
      </c>
      <c r="P333" s="577">
        <f ca="1">IF(M333&gt;0,N333*100/M333,0)</f>
        <v>29.931184353495109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180500</v>
      </c>
      <c r="M335" s="425">
        <f ca="1">M338+M341</f>
        <v>138050</v>
      </c>
      <c r="N335" s="425">
        <f ca="1">N338+N341</f>
        <v>41320</v>
      </c>
      <c r="O335" s="425">
        <f ca="1">IF(L335&gt;0,N335*100/L335,0)</f>
        <v>22.89196675900277</v>
      </c>
      <c r="P335" s="425">
        <f ca="1">IF(M335&gt;0,N335*100/M335,0)</f>
        <v>29.931184353495109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180500</v>
      </c>
      <c r="M336" s="425">
        <f ca="1">M337+M338</f>
        <v>138050</v>
      </c>
      <c r="N336" s="425">
        <f ca="1">N337+N338</f>
        <v>41320</v>
      </c>
      <c r="O336" s="425">
        <f ca="1">IF(L336&gt;0,N336*100/L336,0)</f>
        <v>22.89196675900277</v>
      </c>
      <c r="P336" s="425">
        <f ca="1">IF(M336&gt;0,N336*100/M336,0)</f>
        <v>29.931184353495109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IFERROR(__xludf.DUMMYFUNCTION("IMPORTRANGE(""https://docs.google.com/spreadsheets/d/1-uDff_7J0KD5mKrp0Vvzr7lt3OU09vwQwhkpOPPYv2Y/edit?usp=sharing"",""งบพรบ!ES38"")"),180500)</f>
        <v>180500</v>
      </c>
      <c r="M338" s="425">
        <f ca="1">IFERROR(__xludf.DUMMYFUNCTION("IMPORTRANGE(""https://docs.google.com/spreadsheets/d/1-uDff_7J0KD5mKrp0Vvzr7lt3OU09vwQwhkpOPPYv2Y/edit?usp=sharing"",""งบพรบ!EX38"")"),138050)</f>
        <v>138050</v>
      </c>
      <c r="N338" s="425">
        <f ca="1">IFERROR(__xludf.DUMMYFUNCTION("IMPORTRANGE(""https://docs.google.com/spreadsheets/d/1-uDff_7J0KD5mKrp0Vvzr7lt3OU09vwQwhkpOPPYv2Y/edit?usp=sharing"",""งบพรบ!EZ38"")"),41320)</f>
        <v>41320</v>
      </c>
      <c r="O338" s="425">
        <f ca="1">IF(L338&gt;0,N338*100/L338,0)</f>
        <v>22.89196675900277</v>
      </c>
      <c r="P338" s="425">
        <f ca="1">IF(M338&gt;0,N338*100/M338,0)</f>
        <v>29.931184353495109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IFERROR(__xludf.DUMMYFUNCTION("IMPORTRANGE(""https://docs.google.com/spreadsheets/d/1-uDff_7J0KD5mKrp0Vvzr7lt3OU09vwQwhkpOPPYv2Y/edit?usp=sharing"",""งบพรบ!EV38"")"),0)</f>
        <v>0</v>
      </c>
      <c r="M341" s="425">
        <f ca="1">IFERROR(__xludf.DUMMYFUNCTION("IMPORTRANGE(""https://docs.google.com/spreadsheets/d/1-uDff_7J0KD5mKrp0Vvzr7lt3OU09vwQwhkpOPPYv2Y/edit?usp=sharing"",""งบพรบ!EY38"")"),0)</f>
        <v>0</v>
      </c>
      <c r="N341" s="425">
        <f ca="1">IFERROR(__xludf.DUMMYFUNCTION("IMPORTRANGE(""https://docs.google.com/spreadsheets/d/1-uDff_7J0KD5mKrp0Vvzr7lt3OU09vwQwhkpOPPYv2Y/edit?usp=sharing"",""งบพรบ!FA38"")"),0)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2244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IFERROR(__xludf.DUMMYFUNCTION("IMPORTRANGE(""https://docs.google.com/spreadsheets/d/1eHaY18a8A9IcSdp1K8H6x8fbOy06t2VsZHhMHf-1x7Y/edit?usp=sharing"",""แผน!EK38"")"),4200)</f>
        <v>4200</v>
      </c>
      <c r="J344" s="424">
        <f ca="1">IFERROR(__xludf.DUMMYFUNCTION("IMPORTRANGE(""https://docs.google.com/spreadsheets/d/1awYsYK3VOup2i3Pq_Yjnu8DRu_mYwSBnCR2QPthd0rU/edit?usp=sharing"",""ศูนย์ยกเว้นโฉนด!D38"")"),2244)</f>
        <v>2244</v>
      </c>
      <c r="K344" s="425">
        <f ca="1">IF(I344&gt;0,J344*100/I344,0)</f>
        <v>53.428571428571431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IFERROR(__xludf.DUMMYFUNCTION("IMPORTRANGE(""https://docs.google.com/spreadsheets/d/1eHaY18a8A9IcSdp1K8H6x8fbOy06t2VsZHhMHf-1x7Y/edit?usp=sharing"",""แผน!EL38"")"),4)</f>
        <v>4</v>
      </c>
      <c r="J346" s="424">
        <f ca="1">IFERROR(__xludf.DUMMYFUNCTION("IMPORTRANGE(""https://docs.google.com/spreadsheets/d/1awYsYK3VOup2i3Pq_Yjnu8DRu_mYwSBnCR2QPthd0rU/edit?usp=sharing"",""ศูนย์รวม!E38"")"),6)</f>
        <v>6</v>
      </c>
      <c r="K346" s="425">
        <f ca="1">IF(I346&gt;0,J346*100/I346,0)</f>
        <v>150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IFERROR(__xludf.DUMMYFUNCTION("IMPORTRANGE(""https://docs.google.com/spreadsheets/d/1awYsYK3VOup2i3Pq_Yjnu8DRu_mYwSBnCR2QPthd0rU/edit?usp=sharing"",""ศูนย์ยกเว้นโฉนด!F38"")"),0)</f>
        <v>0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IFERROR(__xludf.DUMMYFUNCTION("IMPORTRANGE(""https://docs.google.com/spreadsheets/d/1awYsYK3VOup2i3Pq_Yjnu8DRu_mYwSBnCR2QPthd0rU/edit?usp=sharing"",""ศูนย์ยกเว้นโฉนด!G38"")"),0)</f>
        <v>0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IFERROR(__xludf.DUMMYFUNCTION("IMPORTRANGE(""https://docs.google.com/spreadsheets/d/1awYsYK3VOup2i3Pq_Yjnu8DRu_mYwSBnCR2QPthd0rU/edit?usp=sharing"",""ศูนย์ยกเว้นโฉนด!H38"")"),0)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11588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IFERROR(__xludf.DUMMYFUNCTION("IMPORTRANGE(""https://docs.google.com/spreadsheets/d/1awYsYK3VOup2i3Pq_Yjnu8DRu_mYwSBnCR2QPthd0rU/edit?usp=sharing"",""โฉนดM3!G38"")"),9755)</f>
        <v>9755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IFERROR(__xludf.DUMMYFUNCTION("IMPORTRANGE(""https://docs.google.com/spreadsheets/d/1awYsYK3VOup2i3Pq_Yjnu8DRu_mYwSBnCR2QPthd0rU/edit?usp=sharing"",""โฉนดM3!H38"")"),1833)</f>
        <v>1833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681865</v>
      </c>
      <c r="M356" s="577">
        <f ca="1">M357+M358</f>
        <v>629865</v>
      </c>
      <c r="N356" s="577">
        <f ca="1">N357+N358</f>
        <v>256335</v>
      </c>
      <c r="O356" s="577">
        <f ca="1">IF(L356&gt;0,N356*100/L356,0)</f>
        <v>37.593218598989537</v>
      </c>
      <c r="P356" s="577">
        <f ca="1">IF(M356&gt;0,N356*100/M356,0)</f>
        <v>40.696815984377608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681865</v>
      </c>
      <c r="M358" s="425">
        <f ca="1">M361+M364</f>
        <v>629865</v>
      </c>
      <c r="N358" s="425">
        <f ca="1">N361+N364</f>
        <v>256335</v>
      </c>
      <c r="O358" s="425">
        <f ca="1">IF(L358&gt;0,N358*100/L358,0)</f>
        <v>37.593218598989537</v>
      </c>
      <c r="P358" s="425">
        <f ca="1">IF(M358&gt;0,N358*100/M358,0)</f>
        <v>40.696815984377608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681865</v>
      </c>
      <c r="M359" s="425">
        <f ca="1">M360+M361</f>
        <v>629865</v>
      </c>
      <c r="N359" s="425">
        <f ca="1">N360+N361</f>
        <v>256335</v>
      </c>
      <c r="O359" s="425">
        <f ca="1">IF(L359&gt;0,N359*100/L359,0)</f>
        <v>37.593218598989537</v>
      </c>
      <c r="P359" s="425">
        <f ca="1">IF(M359&gt;0,N359*100/M359,0)</f>
        <v>40.696815984377608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IFERROR(__xludf.DUMMYFUNCTION("IMPORTRANGE(""https://docs.google.com/spreadsheets/d/1-uDff_7J0KD5mKrp0Vvzr7lt3OU09vwQwhkpOPPYv2Y/edit?usp=sharing"",""งบพรบ!FC38"")"),681865)</f>
        <v>681865</v>
      </c>
      <c r="M361" s="425">
        <f ca="1">IFERROR(__xludf.DUMMYFUNCTION("IMPORTRANGE(""https://docs.google.com/spreadsheets/d/1-uDff_7J0KD5mKrp0Vvzr7lt3OU09vwQwhkpOPPYv2Y/edit?usp=sharing"",""งบพรบ!FH38"")"),629865)</f>
        <v>629865</v>
      </c>
      <c r="N361" s="425">
        <f ca="1">IFERROR(__xludf.DUMMYFUNCTION("IMPORTRANGE(""https://docs.google.com/spreadsheets/d/1-uDff_7J0KD5mKrp0Vvzr7lt3OU09vwQwhkpOPPYv2Y/edit?usp=sharing"",""งบพรบ!FJ38"")"),256335)</f>
        <v>256335</v>
      </c>
      <c r="O361" s="425">
        <f ca="1">IF(L361&gt;0,N361*100/L361,0)</f>
        <v>37.593218598989537</v>
      </c>
      <c r="P361" s="425">
        <f ca="1">IF(M361&gt;0,N361*100/M361,0)</f>
        <v>40.696815984377608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IFERROR(__xludf.DUMMYFUNCTION("IMPORTRANGE(""https://docs.google.com/spreadsheets/d/1-uDff_7J0KD5mKrp0Vvzr7lt3OU09vwQwhkpOPPYv2Y/edit?usp=sharing"",""งบพรบ!FF38"")"),0)</f>
        <v>0</v>
      </c>
      <c r="M364" s="425">
        <f ca="1">IFERROR(__xludf.DUMMYFUNCTION("IMPORTRANGE(""https://docs.google.com/spreadsheets/d/1-uDff_7J0KD5mKrp0Vvzr7lt3OU09vwQwhkpOPPYv2Y/edit?usp=sharing"",""งบพรบ!FI38"")"),0)</f>
        <v>0</v>
      </c>
      <c r="N364" s="425">
        <f ca="1">IFERROR(__xludf.DUMMYFUNCTION("IMPORTRANGE(""https://docs.google.com/spreadsheets/d/1-uDff_7J0KD5mKrp0Vvzr7lt3OU09vwQwhkpOPPYv2Y/edit?usp=sharing"",""งบพรบ!FK38"")"),0)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522</v>
      </c>
      <c r="J365" s="438">
        <f ca="1">J371</f>
        <v>1</v>
      </c>
      <c r="K365" s="439">
        <f ca="1">IF(I365&gt;0,J365*100/I365,0)</f>
        <v>0.19157088122605365</v>
      </c>
      <c r="L365" s="571"/>
      <c r="M365" s="571"/>
      <c r="N365" s="571"/>
      <c r="O365" s="571"/>
      <c r="P365" s="571"/>
    </row>
    <row r="366" spans="1:16" ht="19.5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IFERROR(__xludf.DUMMYFUNCTION("IMPORTRANGE(""https://docs.google.com/spreadsheets/d/1tdoBKaGub7dwA3U6UFTqxio9LNnvDCQjHKmttSEBsFQ/edit?usp=sharing"",""จัดที่ดิน!AB38"")"),0)</f>
        <v>0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IFERROR(__xludf.DUMMYFUNCTION("IMPORTRANGE(""https://docs.google.com/spreadsheets/d/1eHaY18a8A9IcSdp1K8H6x8fbOy06t2VsZHhMHf-1x7Y/edit?usp=sharing"",""แผน!EW38"")"),4460)</f>
        <v>4460</v>
      </c>
      <c r="J368" s="565">
        <f ca="1">IFERROR(__xludf.DUMMYFUNCTION("IMPORTRANGE(""https://docs.google.com/spreadsheets/d/1tdoBKaGub7dwA3U6UFTqxio9LNnvDCQjHKmttSEBsFQ/edit?usp=sharing"",""จัดที่ดิน!AC38"")"),0)</f>
        <v>0</v>
      </c>
      <c r="K368" s="425">
        <f ca="1">IF(I368&gt;0,J368*100/I368,0)</f>
        <v>0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IFERROR(__xludf.DUMMYFUNCTION("IMPORTRANGE(""https://docs.google.com/spreadsheets/d/1eHaY18a8A9IcSdp1K8H6x8fbOy06t2VsZHhMHf-1x7Y/edit?usp=sharing"",""แผน!EX38"")"),802)</f>
        <v>802</v>
      </c>
      <c r="J369" s="424">
        <f ca="1">IFERROR(__xludf.DUMMYFUNCTION("IMPORTRANGE(""https://docs.google.com/spreadsheets/d/1tdoBKaGub7dwA3U6UFTqxio9LNnvDCQjHKmttSEBsFQ/edit?usp=sharing"",""จัดที่ดิน!AD38"")"),29)</f>
        <v>29</v>
      </c>
      <c r="K369" s="425">
        <f ca="1">IF(I369&gt;0,J369*100/I369,0)</f>
        <v>3.6159600997506236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IFERROR(__xludf.DUMMYFUNCTION("IMPORTRANGE(""https://docs.google.com/spreadsheets/d/1tdoBKaGub7dwA3U6UFTqxio9LNnvDCQjHKmttSEBsFQ/edit?usp=sharing"",""จัดที่ดิน!AE38"")"),242.37)</f>
        <v>242.37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IFERROR(__xludf.DUMMYFUNCTION("IMPORTRANGE(""https://docs.google.com/spreadsheets/d/1eHaY18a8A9IcSdp1K8H6x8fbOy06t2VsZHhMHf-1x7Y/edit?usp=sharing"",""แผน!EY38"")"),522)</f>
        <v>522</v>
      </c>
      <c r="J371" s="424">
        <f ca="1">IFERROR(__xludf.DUMMYFUNCTION("IMPORTRANGE(""https://docs.google.com/spreadsheets/d/1tdoBKaGub7dwA3U6UFTqxio9LNnvDCQjHKmttSEBsFQ/edit?usp=sharing"",""จัดที่ดิน!AF38"")"),1)</f>
        <v>1</v>
      </c>
      <c r="K371" s="425">
        <f ca="1">IF(I371&gt;0,J371*100/I371,0)</f>
        <v>0.19157088122605365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IFERROR(__xludf.DUMMYFUNCTION("IMPORTRANGE(""https://docs.google.com/spreadsheets/d/1tdoBKaGub7dwA3U6UFTqxio9LNnvDCQjHKmttSEBsFQ/edit?usp=sharing"",""จัดที่ดิน!AG38"")"),42.26)</f>
        <v>42.26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IFERROR(__xludf.DUMMYFUNCTION("IMPORTRANGE(""https://docs.google.com/spreadsheets/d/1-uDff_7J0KD5mKrp0Vvzr7lt3OU09vwQwhkpOPPYv2Y/edit?usp=sharing"",""งบพรบ!FM38"")"),0)</f>
        <v>0</v>
      </c>
      <c r="M382" s="521">
        <f ca="1">IFERROR(__xludf.DUMMYFUNCTION("IMPORTRANGE(""https://docs.google.com/spreadsheets/d/1-uDff_7J0KD5mKrp0Vvzr7lt3OU09vwQwhkpOPPYv2Y/edit?usp=sharing"",""งบพรบ!FR38"")"),0)</f>
        <v>0</v>
      </c>
      <c r="N382" s="521">
        <f ca="1">IFERROR(__xludf.DUMMYFUNCTION("IMPORTRANGE(""https://docs.google.com/spreadsheets/d/1-uDff_7J0KD5mKrp0Vvzr7lt3OU09vwQwhkpOPPYv2Y/edit?usp=sharing"",""งบพรบ!FT38"")"),0)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IFERROR(__xludf.DUMMYFUNCTION("IMPORTRANGE(""https://docs.google.com/spreadsheets/d/1-uDff_7J0KD5mKrp0Vvzr7lt3OU09vwQwhkpOPPYv2Y/edit?usp=sharing"",""งบพรบ!FP38"")"),0)</f>
        <v>0</v>
      </c>
      <c r="M385" s="521">
        <f ca="1">IFERROR(__xludf.DUMMYFUNCTION("IMPORTRANGE(""https://docs.google.com/spreadsheets/d/1-uDff_7J0KD5mKrp0Vvzr7lt3OU09vwQwhkpOPPYv2Y/edit?usp=sharing"",""งบพรบ!FS38"")"),0)</f>
        <v>0</v>
      </c>
      <c r="N385" s="521">
        <f ca="1">IFERROR(__xludf.DUMMYFUNCTION("IMPORTRANGE(""https://docs.google.com/spreadsheets/d/1-uDff_7J0KD5mKrp0Vvzr7lt3OU09vwQwhkpOPPYv2Y/edit?usp=sharing"",""งบพรบ!FU38"")"),0)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552E-4187-414F-A908-5391904EEA0E}">
  <sheetPr>
    <outlinePr summaryBelow="0" summaryRight="0"/>
    <pageSetUpPr fitToPage="1"/>
  </sheetPr>
  <dimension ref="A1:P391"/>
  <sheetViews>
    <sheetView view="pageBreakPreview" zoomScale="60" zoomScaleNormal="70" workbookViewId="0">
      <pane xSplit="8" ySplit="17" topLeftCell="I18" activePane="bottomRight" state="frozen"/>
      <selection activeCell="H27" sqref="H27"/>
      <selection pane="topRight" activeCell="H27" sqref="H27"/>
      <selection pane="bottomLeft" activeCell="H27" sqref="H27"/>
      <selection pane="bottomRight" activeCell="H27" sqref="H27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5.140625" customWidth="1"/>
    <col min="11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869" t="s">
        <v>0</v>
      </c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  <c r="O1" s="869"/>
      <c r="P1" s="869"/>
    </row>
    <row r="2" spans="1:16" ht="19.5" x14ac:dyDescent="0.3">
      <c r="A2" s="869" t="s">
        <v>167</v>
      </c>
      <c r="B2" s="869"/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  <c r="P2" s="869"/>
    </row>
    <row r="3" spans="1:16" ht="19.5" x14ac:dyDescent="0.3">
      <c r="A3" s="869"/>
      <c r="B3" s="869"/>
      <c r="C3" s="869"/>
      <c r="D3" s="869"/>
      <c r="E3" s="869"/>
      <c r="F3" s="869"/>
      <c r="G3" s="869"/>
      <c r="H3" s="869"/>
      <c r="I3" s="869"/>
      <c r="J3" s="869"/>
      <c r="K3" s="869"/>
      <c r="L3" s="869"/>
      <c r="M3" s="869"/>
      <c r="N3" s="869"/>
      <c r="O3" s="869"/>
      <c r="P3" s="869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5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493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1920848</v>
      </c>
      <c r="M18" s="704">
        <f ca="1">M19+M20</f>
        <v>1640340</v>
      </c>
      <c r="N18" s="704">
        <f ca="1">N19+N20</f>
        <v>509421.92</v>
      </c>
      <c r="O18" s="704">
        <f ca="1">IF(L18&gt;0,N18*100/L18,0)</f>
        <v>26.520678367054551</v>
      </c>
      <c r="P18" s="704">
        <f ca="1">IF(M18&gt;0,N18*100/M18,0)</f>
        <v>31.055873782264651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1920848</v>
      </c>
      <c r="M20" s="817">
        <f ca="1">M23+M26</f>
        <v>1640340</v>
      </c>
      <c r="N20" s="817">
        <f ca="1">N23+N26</f>
        <v>509421.92</v>
      </c>
      <c r="O20" s="817">
        <f ca="1">IF(L20&gt;0,N20*100/L20,0)</f>
        <v>26.520678367054551</v>
      </c>
      <c r="P20" s="817">
        <f ca="1">IF(M20&gt;0,N20*100/M20,0)</f>
        <v>31.055873782264651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1920848</v>
      </c>
      <c r="M21" s="425">
        <f ca="1">M22+M23</f>
        <v>1640340</v>
      </c>
      <c r="N21" s="425">
        <f ca="1">N22+N23</f>
        <v>509421.92</v>
      </c>
      <c r="O21" s="425">
        <f ca="1">IF(L21&gt;0,N21*100/L21,0)</f>
        <v>26.520678367054551</v>
      </c>
      <c r="P21" s="425">
        <f ca="1">IF(M21&gt;0,N21*100/M21,0)</f>
        <v>31.055873782264651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1920848</v>
      </c>
      <c r="M23" s="425">
        <f ca="1">M49+M64+M77+M99+M130+M144+M162+M191+M178+M271+M287+M308+M325+M338+M361+M382</f>
        <v>1640340</v>
      </c>
      <c r="N23" s="425">
        <f ca="1">N49+N64+N77+N99+N130+N144+N162+N191+N178+N271+N287+N308+N325+N338+N361+N382</f>
        <v>509421.92</v>
      </c>
      <c r="O23" s="425">
        <f ca="1">IF(L23&gt;0,N23*100/L23,0)</f>
        <v>26.520678367054551</v>
      </c>
      <c r="P23" s="425">
        <f ca="1">IF(M23&gt;0,N23*100/M23,0)</f>
        <v>31.055873782264651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2.75" hidden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1920848</v>
      </c>
      <c r="M40" s="809">
        <f ca="1">M44+M59+M72+M94+M125+M139+M157+M173+M186+M266+M282+M303+M320+M333+M356</f>
        <v>1640340</v>
      </c>
      <c r="N40" s="809">
        <f ca="1">N44+N59+N72+N94+N125+N139+N157+N173+N186+N266+N282+N303+N320+N333+N356</f>
        <v>509421.92</v>
      </c>
      <c r="O40" s="809">
        <f ca="1">IF(L40&gt;0,N40*100/L40,0)</f>
        <v>26.520678367054551</v>
      </c>
      <c r="P40" s="809">
        <f ca="1">IF(M40&gt;0,N40*100/M40,0)</f>
        <v>31.055873782264651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346693</v>
      </c>
      <c r="M44" s="794">
        <f ca="1">M45+M46</f>
        <v>353185</v>
      </c>
      <c r="N44" s="794">
        <f ca="1">N45+N46</f>
        <v>155092</v>
      </c>
      <c r="O44" s="794">
        <f ca="1">IF(L44&gt;0,N44*100/L44,0)</f>
        <v>44.734678808052081</v>
      </c>
      <c r="P44" s="794">
        <f ca="1">IF(M44&gt;0,N44*100/M44,0)</f>
        <v>43.912397185610942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346693</v>
      </c>
      <c r="M46" s="783">
        <f ca="1">M49+M52</f>
        <v>353185</v>
      </c>
      <c r="N46" s="783">
        <f ca="1">N49+N52</f>
        <v>155092</v>
      </c>
      <c r="O46" s="783">
        <f ca="1">IF(L46&gt;0,N46*100/L46,0)</f>
        <v>44.734678808052081</v>
      </c>
      <c r="P46" s="783">
        <f ca="1">IF(M46&gt;0,N46*100/M46,0)</f>
        <v>43.912397185610942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346693</v>
      </c>
      <c r="M47" s="425">
        <f ca="1">M48+M49</f>
        <v>353185</v>
      </c>
      <c r="N47" s="425">
        <f ca="1">N48+N49</f>
        <v>155092</v>
      </c>
      <c r="O47" s="425">
        <f ca="1">IF(L47&gt;0,N47*100/L47,0)</f>
        <v>44.734678808052081</v>
      </c>
      <c r="P47" s="425">
        <f ca="1">IF(M47&gt;0,N47*100/M47,0)</f>
        <v>43.912397185610942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IFERROR(__xludf.DUMMYFUNCTION("IMPORTRANGE(""https://docs.google.com/spreadsheets/d/1-uDff_7J0KD5mKrp0Vvzr7lt3OU09vwQwhkpOPPYv2Y/edit?usp=sharing"",""งบพรบ!P39"")"),346693)</f>
        <v>346693</v>
      </c>
      <c r="M49" s="425">
        <f ca="1">IFERROR(__xludf.DUMMYFUNCTION("IMPORTRANGE(""https://docs.google.com/spreadsheets/d/1-uDff_7J0KD5mKrp0Vvzr7lt3OU09vwQwhkpOPPYv2Y/edit?usp=sharing"",""งบพรบ!V39"")"),353185)</f>
        <v>353185</v>
      </c>
      <c r="N49" s="425">
        <f ca="1">IFERROR(__xludf.DUMMYFUNCTION("IMPORTRANGE(""https://docs.google.com/spreadsheets/d/1-uDff_7J0KD5mKrp0Vvzr7lt3OU09vwQwhkpOPPYv2Y/edit?usp=sharing"",""งบพรบ!Y39"")"),155092)</f>
        <v>155092</v>
      </c>
      <c r="O49" s="425">
        <f ca="1">IF(L49&gt;0,N49*100/L49,0)</f>
        <v>44.734678808052081</v>
      </c>
      <c r="P49" s="425">
        <f ca="1">IF(M49&gt;0,N49*100/M49,0)</f>
        <v>43.912397185610942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IFERROR(__xludf.DUMMYFUNCTION("IMPORTRANGE(""https://docs.google.com/spreadsheets/d/1-uDff_7J0KD5mKrp0Vvzr7lt3OU09vwQwhkpOPPYv2Y/edit?usp=sharing"",""งบพรบ!S39"")"),0)</f>
        <v>0</v>
      </c>
      <c r="M52" s="425">
        <f ca="1">IFERROR(__xludf.DUMMYFUNCTION("IMPORTRANGE(""https://docs.google.com/spreadsheets/d/1-uDff_7J0KD5mKrp0Vvzr7lt3OU09vwQwhkpOPPYv2Y/edit?usp=sharing"",""งบพรบ!W39"")"),0)</f>
        <v>0</v>
      </c>
      <c r="N52" s="425">
        <f ca="1">IFERROR(__xludf.DUMMYFUNCTION("IMPORTRANGE(""https://docs.google.com/spreadsheets/d/1-uDff_7J0KD5mKrp0Vvzr7lt3OU09vwQwhkpOPPYv2Y/edit?usp=sharing"",""งบพรบ!Z39"")"),0)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461300</v>
      </c>
      <c r="M59" s="763">
        <f ca="1">M60+M61</f>
        <v>348150</v>
      </c>
      <c r="N59" s="763">
        <f ca="1">N60+N61</f>
        <v>174941.25</v>
      </c>
      <c r="O59" s="763">
        <f ca="1">IF(L59&gt;0,N59*100/L59,0)</f>
        <v>37.923531324517668</v>
      </c>
      <c r="P59" s="763">
        <f ca="1">IF(M59&gt;0,N59*100/M59,0)</f>
        <v>50.248815165876778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461300</v>
      </c>
      <c r="M61" s="752">
        <f ca="1">M64+M67</f>
        <v>348150</v>
      </c>
      <c r="N61" s="752">
        <f ca="1">N64+N67</f>
        <v>174941.25</v>
      </c>
      <c r="O61" s="752">
        <f ca="1">IF(L61&gt;0,N61*100/L61,0)</f>
        <v>37.923531324517668</v>
      </c>
      <c r="P61" s="752">
        <f ca="1">IF(M61&gt;0,N61*100/M61,0)</f>
        <v>50.248815165876778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461300</v>
      </c>
      <c r="M62" s="425">
        <f ca="1">M63+M64</f>
        <v>348150</v>
      </c>
      <c r="N62" s="425">
        <f ca="1">N63+N64</f>
        <v>174941.25</v>
      </c>
      <c r="O62" s="425">
        <f ca="1">IF(L62&gt;0,N62*100/L62,0)</f>
        <v>37.923531324517668</v>
      </c>
      <c r="P62" s="425">
        <f ca="1">IF(M62&gt;0,N62*100/M62,0)</f>
        <v>50.248815165876778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IFERROR(__xludf.DUMMYFUNCTION("IMPORTRANGE(""https://docs.google.com/spreadsheets/d/1-uDff_7J0KD5mKrp0Vvzr7lt3OU09vwQwhkpOPPYv2Y/edit?usp=sharing"",""งบพรบ!AC39"")"),461300)</f>
        <v>461300</v>
      </c>
      <c r="M64" s="425">
        <f ca="1">IFERROR(__xludf.DUMMYFUNCTION("IMPORTRANGE(""https://docs.google.com/spreadsheets/d/1-uDff_7J0KD5mKrp0Vvzr7lt3OU09vwQwhkpOPPYv2Y/edit?usp=sharing"",""งบพรบ!AH39"")"),348150)</f>
        <v>348150</v>
      </c>
      <c r="N64" s="425">
        <f ca="1">IFERROR(__xludf.DUMMYFUNCTION("IMPORTRANGE(""https://docs.google.com/spreadsheets/d/1-uDff_7J0KD5mKrp0Vvzr7lt3OU09vwQwhkpOPPYv2Y/edit?usp=sharing"",""งบพรบ!AJ39"")"),174941.25)</f>
        <v>174941.25</v>
      </c>
      <c r="O64" s="425">
        <f ca="1">IF(L64&gt;0,N64*100/L64,0)</f>
        <v>37.923531324517668</v>
      </c>
      <c r="P64" s="425">
        <f ca="1">IF(M64&gt;0,N64*100/M64,0)</f>
        <v>50.248815165876778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IFERROR(__xludf.DUMMYFUNCTION("IMPORTRANGE(""https://docs.google.com/spreadsheets/d/1-uDff_7J0KD5mKrp0Vvzr7lt3OU09vwQwhkpOPPYv2Y/edit?usp=sharing"",""งบพรบ!AF39"")"),0)</f>
        <v>0</v>
      </c>
      <c r="M67" s="747">
        <f ca="1">IFERROR(__xludf.DUMMYFUNCTION("IMPORTRANGE(""https://docs.google.com/spreadsheets/d/1-uDff_7J0KD5mKrp0Vvzr7lt3OU09vwQwhkpOPPYv2Y/edit?usp=sharing"",""งบพรบ!AI39"")"),0)</f>
        <v>0</v>
      </c>
      <c r="N67" s="747">
        <f ca="1">IFERROR(__xludf.DUMMYFUNCTION("IMPORTRANGE(""https://docs.google.com/spreadsheets/d/1-uDff_7J0KD5mKrp0Vvzr7lt3OU09vwQwhkpOPPYv2Y/edit?usp=sharing"",""งบพรบ!AK39"")"),0)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19.5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1</v>
      </c>
      <c r="J70" s="705">
        <f>J82</f>
        <v>0</v>
      </c>
      <c r="K70" s="704">
        <f ca="1">IF(I70&gt;0,J70*100/I70,0)</f>
        <v>0</v>
      </c>
      <c r="L70" s="703"/>
      <c r="M70" s="703"/>
      <c r="N70" s="703"/>
      <c r="O70" s="703"/>
      <c r="P70" s="703"/>
    </row>
    <row r="71" spans="1:16" ht="19.5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69</v>
      </c>
      <c r="J71" s="705">
        <f>J83</f>
        <v>0</v>
      </c>
      <c r="K71" s="704">
        <f ca="1">IF(I71&gt;0,J71*100/I71,0)</f>
        <v>0</v>
      </c>
      <c r="L71" s="703"/>
      <c r="M71" s="703"/>
      <c r="N71" s="703"/>
      <c r="O71" s="703"/>
      <c r="P71" s="703"/>
    </row>
    <row r="72" spans="1:16" ht="19.5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655300</v>
      </c>
      <c r="M72" s="577">
        <f ca="1">M73+M74</f>
        <v>567700</v>
      </c>
      <c r="N72" s="577">
        <f ca="1">N73+N74</f>
        <v>108232</v>
      </c>
      <c r="O72" s="577">
        <f ca="1">IF(L72&gt;0,N72*100/L72,0)</f>
        <v>16.516404700137343</v>
      </c>
      <c r="P72" s="577">
        <f ca="1">IF(M72&gt;0,N72*100/M72,0)</f>
        <v>19.064999119253127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655300</v>
      </c>
      <c r="M74" s="425">
        <f ca="1">M77+M80</f>
        <v>567700</v>
      </c>
      <c r="N74" s="425">
        <f ca="1">N77+N80</f>
        <v>108232</v>
      </c>
      <c r="O74" s="425">
        <f ca="1">IF(L74&gt;0,N74*100/L74,0)</f>
        <v>16.516404700137343</v>
      </c>
      <c r="P74" s="425">
        <f ca="1">IF(M74&gt;0,N74*100/M74,0)</f>
        <v>19.064999119253127</v>
      </c>
    </row>
    <row r="75" spans="1:16" ht="18.75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655300</v>
      </c>
      <c r="M75" s="425">
        <f ca="1">M76+M77</f>
        <v>567700</v>
      </c>
      <c r="N75" s="425">
        <f ca="1">N76+N77</f>
        <v>108232</v>
      </c>
      <c r="O75" s="425">
        <f ca="1">IF(L75&gt;0,N75*100/L75,0)</f>
        <v>16.516404700137343</v>
      </c>
      <c r="P75" s="425">
        <f ca="1">IF(M75&gt;0,N75*100/M75,0)</f>
        <v>19.064999119253127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IFERROR(__xludf.DUMMYFUNCTION("IMPORTRANGE(""https://docs.google.com/spreadsheets/d/1-uDff_7J0KD5mKrp0Vvzr7lt3OU09vwQwhkpOPPYv2Y/edit?usp=sharing"",""งบพรบ!AM39"")"),655300)</f>
        <v>655300</v>
      </c>
      <c r="M77" s="425">
        <f ca="1">IFERROR(__xludf.DUMMYFUNCTION("IMPORTRANGE(""https://docs.google.com/spreadsheets/d/1-uDff_7J0KD5mKrp0Vvzr7lt3OU09vwQwhkpOPPYv2Y/edit?usp=sharing"",""งบพรบ!AR39"")"),567700)</f>
        <v>567700</v>
      </c>
      <c r="N77" s="425">
        <f ca="1">IFERROR(__xludf.DUMMYFUNCTION("IMPORTRANGE(""https://docs.google.com/spreadsheets/d/1-uDff_7J0KD5mKrp0Vvzr7lt3OU09vwQwhkpOPPYv2Y/edit?usp=sharing"",""งบพรบ!AT39"")"),108232)</f>
        <v>108232</v>
      </c>
      <c r="O77" s="425">
        <f ca="1">IF(L77&gt;0,N77*100/L77,0)</f>
        <v>16.516404700137343</v>
      </c>
      <c r="P77" s="425">
        <f ca="1">IF(M77&gt;0,N77*100/M77,0)</f>
        <v>19.064999119253127</v>
      </c>
    </row>
    <row r="78" spans="1:16" ht="18.75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IFERROR(__xludf.DUMMYFUNCTION("IMPORTRANGE(""https://docs.google.com/spreadsheets/d/1-uDff_7J0KD5mKrp0Vvzr7lt3OU09vwQwhkpOPPYv2Y/edit?usp=sharing"",""งบพรบ!AP39"")"),0)</f>
        <v>0</v>
      </c>
      <c r="M80" s="425">
        <f ca="1">IFERROR(__xludf.DUMMYFUNCTION("IMPORTRANGE(""https://docs.google.com/spreadsheets/d/1-uDff_7J0KD5mKrp0Vvzr7lt3OU09vwQwhkpOPPYv2Y/edit?usp=sharing"",""งบพรบ!AS39"")"),0)</f>
        <v>0</v>
      </c>
      <c r="N80" s="425">
        <f ca="1">IFERROR(__xludf.DUMMYFUNCTION("IMPORTRANGE(""https://docs.google.com/spreadsheets/d/1-uDff_7J0KD5mKrp0Vvzr7lt3OU09vwQwhkpOPPYv2Y/edit?usp=sharing"",""งบพรบ!AU39"")"),0)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1</v>
      </c>
      <c r="J82" s="625">
        <f>J84+J86+J88</f>
        <v>0</v>
      </c>
      <c r="K82" s="624">
        <f ca="1">IF(I82&gt;0,J82*100/I82,0)</f>
        <v>0</v>
      </c>
      <c r="L82" s="525"/>
      <c r="M82" s="525"/>
      <c r="N82" s="525"/>
      <c r="O82" s="525"/>
      <c r="P82" s="525"/>
    </row>
    <row r="83" spans="1:16" ht="19.5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69</v>
      </c>
      <c r="J83" s="625">
        <f>J85+J87+J89</f>
        <v>0</v>
      </c>
      <c r="K83" s="624">
        <f ca="1">IF(I83&gt;0,J83*100/I83,0)</f>
        <v>0</v>
      </c>
      <c r="L83" s="525"/>
      <c r="M83" s="525"/>
      <c r="N83" s="525"/>
      <c r="O83" s="525"/>
      <c r="P83" s="525"/>
    </row>
    <row r="84" spans="1:16" ht="18.75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IFERROR(__xludf.DUMMYFUNCTION("IMPORTRANGE(""https://docs.google.com/spreadsheets/d/1eHaY18a8A9IcSdp1K8H6x8fbOy06t2VsZHhMHf-1x7Y/edit?usp=sharing"",""แผน!H39"")"),0)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IFERROR(__xludf.DUMMYFUNCTION("IMPORTRANGE(""https://docs.google.com/spreadsheets/d/1eHaY18a8A9IcSdp1K8H6x8fbOy06t2VsZHhMHf-1x7Y/edit?usp=sharing"",""แผน!I39"")"),0)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IFERROR(__xludf.DUMMYFUNCTION("IMPORTRANGE(""https://docs.google.com/spreadsheets/d/1eHaY18a8A9IcSdp1K8H6x8fbOy06t2VsZHhMHf-1x7Y/edit?usp=sharing"",""แผน!F39"")"),0)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IFERROR(__xludf.DUMMYFUNCTION("IMPORTRANGE(""https://docs.google.com/spreadsheets/d/1eHaY18a8A9IcSdp1K8H6x8fbOy06t2VsZHhMHf-1x7Y/edit?usp=sharing"",""แผน!G39"")"),0)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IFERROR(__xludf.DUMMYFUNCTION("IMPORTRANGE(""https://docs.google.com/spreadsheets/d/1eHaY18a8A9IcSdp1K8H6x8fbOy06t2VsZHhMHf-1x7Y/edit?usp=sharing"",""แผน!D39"")"),1)</f>
        <v>1</v>
      </c>
      <c r="J88" s="595">
        <v>0</v>
      </c>
      <c r="K88" s="621">
        <f ca="1">IF(I88&gt;0,J88*100/I88,0)</f>
        <v>0</v>
      </c>
      <c r="L88" s="525"/>
      <c r="M88" s="525"/>
      <c r="N88" s="525"/>
      <c r="O88" s="525"/>
      <c r="P88" s="525"/>
    </row>
    <row r="89" spans="1:16" ht="18.75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IFERROR(__xludf.DUMMYFUNCTION("IMPORTRANGE(""https://docs.google.com/spreadsheets/d/1eHaY18a8A9IcSdp1K8H6x8fbOy06t2VsZHhMHf-1x7Y/edit?usp=sharing"",""แผน!E39"")"),69)</f>
        <v>69</v>
      </c>
      <c r="J89" s="595">
        <v>0</v>
      </c>
      <c r="K89" s="621">
        <f ca="1">IF(I89&gt;0,J89*100/I89,0)</f>
        <v>0</v>
      </c>
      <c r="L89" s="525"/>
      <c r="M89" s="525"/>
      <c r="N89" s="525"/>
      <c r="O89" s="525"/>
      <c r="P89" s="525"/>
    </row>
    <row r="90" spans="1:16" ht="18.75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IFERROR(__xludf.DUMMYFUNCTION("IMPORTRANGE(""https://docs.google.com/spreadsheets/d/1eHaY18a8A9IcSdp1K8H6x8fbOy06t2VsZHhMHf-1x7Y/edit?usp=sharing"",""แผน!J39"")"),1)</f>
        <v>1</v>
      </c>
      <c r="J90" s="595">
        <v>0</v>
      </c>
      <c r="K90" s="621">
        <f ca="1">IF(I90&gt;0,J90*100/I90,0)</f>
        <v>0</v>
      </c>
      <c r="L90" s="525"/>
      <c r="M90" s="525"/>
      <c r="N90" s="525"/>
      <c r="O90" s="525"/>
      <c r="P90" s="525"/>
    </row>
    <row r="91" spans="1:16" ht="19.5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30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10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51000</v>
      </c>
      <c r="M94" s="577">
        <f ca="1">M95+M96</f>
        <v>51000</v>
      </c>
      <c r="N94" s="577">
        <f ca="1">N95+N96</f>
        <v>0</v>
      </c>
      <c r="O94" s="577">
        <f ca="1">IF(L94&gt;0,N94*100/L94,0)</f>
        <v>0</v>
      </c>
      <c r="P94" s="577">
        <f ca="1">IF(M94&gt;0,N94*100/M94,0)</f>
        <v>0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51000</v>
      </c>
      <c r="M96" s="425">
        <f ca="1">M99+M102</f>
        <v>51000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51000</v>
      </c>
      <c r="M97" s="425">
        <f ca="1">M98+M99</f>
        <v>51000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IFERROR(__xludf.DUMMYFUNCTION("IMPORTRANGE(""https://docs.google.com/spreadsheets/d/1-uDff_7J0KD5mKrp0Vvzr7lt3OU09vwQwhkpOPPYv2Y/edit?usp=sharing"",""งบพรบ!AW39"")"),51000)</f>
        <v>51000</v>
      </c>
      <c r="M99" s="425">
        <f ca="1">IFERROR(__xludf.DUMMYFUNCTION("IMPORTRANGE(""https://docs.google.com/spreadsheets/d/1-uDff_7J0KD5mKrp0Vvzr7lt3OU09vwQwhkpOPPYv2Y/edit?usp=sharing"",""งบพรบ!BB39"")"),51000)</f>
        <v>51000</v>
      </c>
      <c r="N99" s="425">
        <f ca="1">IFERROR(__xludf.DUMMYFUNCTION("IMPORTRANGE(""https://docs.google.com/spreadsheets/d/1-uDff_7J0KD5mKrp0Vvzr7lt3OU09vwQwhkpOPPYv2Y/edit?usp=sharing"",""งบพรบ!BD39"")"),0)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IFERROR(__xludf.DUMMYFUNCTION("IMPORTRANGE(""https://docs.google.com/spreadsheets/d/1-uDff_7J0KD5mKrp0Vvzr7lt3OU09vwQwhkpOPPYv2Y/edit?usp=sharing"",""งบพรบ!AZ39"")"),0)</f>
        <v>0</v>
      </c>
      <c r="M102" s="425">
        <f ca="1">IFERROR(__xludf.DUMMYFUNCTION("IMPORTRANGE(""https://docs.google.com/spreadsheets/d/1-uDff_7J0KD5mKrp0Vvzr7lt3OU09vwQwhkpOPPYv2Y/edit?usp=sharing"",""งบพรบ!BC39"")"),0)</f>
        <v>0</v>
      </c>
      <c r="N102" s="425">
        <f ca="1">IFERROR(__xludf.DUMMYFUNCTION("IMPORTRANGE(""https://docs.google.com/spreadsheets/d/1-uDff_7J0KD5mKrp0Vvzr7lt3OU09vwQwhkpOPPYv2Y/edit?usp=sharing"",""งบพรบ!BE39"")"),0)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IFERROR(__xludf.DUMMYFUNCTION("IMPORTRANGE(""https://docs.google.com/spreadsheets/d/1eHaY18a8A9IcSdp1K8H6x8fbOy06t2VsZHhMHf-1x7Y/edit?usp=sharing"",""แผน!N39"")"),30)</f>
        <v>30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IFERROR(__xludf.DUMMYFUNCTION("IMPORTRANGE(""https://docs.google.com/spreadsheets/d/1eHaY18a8A9IcSdp1K8H6x8fbOy06t2VsZHhMHf-1x7Y/edit?usp=sharing"",""แผน!O39"")"),10)</f>
        <v>10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IFERROR(__xludf.DUMMYFUNCTION("IMPORTRANGE(""https://docs.google.com/spreadsheets/d/1eHaY18a8A9IcSdp1K8H6x8fbOy06t2VsZHhMHf-1x7Y/edit?usp=sharing"",""แผน!R39"")"),10)</f>
        <v>10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IFERROR(__xludf.DUMMYFUNCTION("IMPORTRANGE(""https://docs.google.com/spreadsheets/d/1-uDff_7J0KD5mKrp0Vvzr7lt3OU09vwQwhkpOPPYv2Y/edit?usp=sharing"",""งบพรบ!BG39"")"),0)</f>
        <v>0</v>
      </c>
      <c r="M130" s="723">
        <f ca="1">IFERROR(__xludf.DUMMYFUNCTION("IMPORTRANGE(""https://docs.google.com/spreadsheets/d/1-uDff_7J0KD5mKrp0Vvzr7lt3OU09vwQwhkpOPPYv2Y/edit?usp=sharing"",""งบพรบ!BL39"")"),0)</f>
        <v>0</v>
      </c>
      <c r="N130" s="723">
        <f ca="1">IFERROR(__xludf.DUMMYFUNCTION("IMPORTRANGE(""https://docs.google.com/spreadsheets/d/1-uDff_7J0KD5mKrp0Vvzr7lt3OU09vwQwhkpOPPYv2Y/edit?usp=sharing"",""งบพรบ!BN39"")"),0)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IFERROR(__xludf.DUMMYFUNCTION("IMPORTRANGE(""https://docs.google.com/spreadsheets/d/1-uDff_7J0KD5mKrp0Vvzr7lt3OU09vwQwhkpOPPYv2Y/edit?usp=sharing"",""งบพรบ!BJ39"")"),0)</f>
        <v>0</v>
      </c>
      <c r="M133" s="723">
        <f ca="1">IFERROR(__xludf.DUMMYFUNCTION("IMPORTRANGE(""https://docs.google.com/spreadsheets/d/1-uDff_7J0KD5mKrp0Vvzr7lt3OU09vwQwhkpOPPYv2Y/edit?usp=sharing"",""งบพรบ!BM39"")"),0)</f>
        <v>0</v>
      </c>
      <c r="N133" s="723">
        <f ca="1">IFERROR(__xludf.DUMMYFUNCTION("IMPORTRANGE(""https://docs.google.com/spreadsheets/d/1-uDff_7J0KD5mKrp0Vvzr7lt3OU09vwQwhkpOPPYv2Y/edit?usp=sharing"",""งบพรบ!BO39"")"),0)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0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40</v>
      </c>
      <c r="J137" s="705">
        <f>J152</f>
        <v>0</v>
      </c>
      <c r="K137" s="704">
        <f ca="1">IF(I137&gt;0,J137*100/I137,0)</f>
        <v>0</v>
      </c>
      <c r="L137" s="703"/>
      <c r="M137" s="703"/>
      <c r="N137" s="703"/>
      <c r="O137" s="703"/>
      <c r="P137" s="703"/>
    </row>
    <row r="138" spans="1:16" ht="19.5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4</v>
      </c>
      <c r="J138" s="705">
        <f>J153</f>
        <v>0</v>
      </c>
      <c r="K138" s="704">
        <f ca="1">IF(I138&gt;0,J138*100/I138,0)</f>
        <v>0</v>
      </c>
      <c r="L138" s="703"/>
      <c r="M138" s="703"/>
      <c r="N138" s="703"/>
      <c r="O138" s="703"/>
      <c r="P138" s="703"/>
    </row>
    <row r="139" spans="1:16" ht="19.5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48200</v>
      </c>
      <c r="M139" s="577">
        <f ca="1">M140+M141</f>
        <v>43200</v>
      </c>
      <c r="N139" s="577">
        <f ca="1">N140+N141</f>
        <v>5350</v>
      </c>
      <c r="O139" s="577">
        <f ca="1">IF(L139&gt;0,N139*100/L139,0)</f>
        <v>11.099585062240664</v>
      </c>
      <c r="P139" s="577">
        <f ca="1">IF(M139&gt;0,N139*100/M139,0)</f>
        <v>12.38425925925926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48200</v>
      </c>
      <c r="M141" s="425">
        <f ca="1">M144+M147</f>
        <v>43200</v>
      </c>
      <c r="N141" s="425">
        <f ca="1">N144+N147</f>
        <v>5350</v>
      </c>
      <c r="O141" s="425">
        <f ca="1">IF(L141&gt;0,N141*100/L141,0)</f>
        <v>11.099585062240664</v>
      </c>
      <c r="P141" s="425">
        <f ca="1">IF(M141&gt;0,N141*100/M141,0)</f>
        <v>12.38425925925926</v>
      </c>
    </row>
    <row r="142" spans="1:16" ht="18.75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48200</v>
      </c>
      <c r="M142" s="425">
        <f ca="1">M143+M144</f>
        <v>43200</v>
      </c>
      <c r="N142" s="425">
        <f ca="1">N143+N144</f>
        <v>5350</v>
      </c>
      <c r="O142" s="425">
        <f ca="1">IF(L142&gt;0,N142*100/L142,0)</f>
        <v>11.099585062240664</v>
      </c>
      <c r="P142" s="425">
        <f ca="1">IF(M142&gt;0,N142*100/M142,0)</f>
        <v>12.38425925925926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IFERROR(__xludf.DUMMYFUNCTION("IMPORTRANGE(""https://docs.google.com/spreadsheets/d/1-uDff_7J0KD5mKrp0Vvzr7lt3OU09vwQwhkpOPPYv2Y/edit?usp=sharing"",""งบพรบ!BQ39"")"),48200)</f>
        <v>48200</v>
      </c>
      <c r="M144" s="425">
        <f ca="1">IFERROR(__xludf.DUMMYFUNCTION("IMPORTRANGE(""https://docs.google.com/spreadsheets/d/1-uDff_7J0KD5mKrp0Vvzr7lt3OU09vwQwhkpOPPYv2Y/edit?usp=sharing"",""งบพรบ!BV39"")"),43200)</f>
        <v>43200</v>
      </c>
      <c r="N144" s="425">
        <f ca="1">IFERROR(__xludf.DUMMYFUNCTION("IMPORTRANGE(""https://docs.google.com/spreadsheets/d/1-uDff_7J0KD5mKrp0Vvzr7lt3OU09vwQwhkpOPPYv2Y/edit?usp=sharing"",""งบพรบ!BX39"")"),5350)</f>
        <v>5350</v>
      </c>
      <c r="O144" s="425">
        <f ca="1">IF(L144&gt;0,N144*100/L144,0)</f>
        <v>11.099585062240664</v>
      </c>
      <c r="P144" s="425">
        <f ca="1">IF(M144&gt;0,N144*100/M144,0)</f>
        <v>12.38425925925926</v>
      </c>
    </row>
    <row r="145" spans="1:16" ht="18.75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IFERROR(__xludf.DUMMYFUNCTION("IMPORTRANGE(""https://docs.google.com/spreadsheets/d/1-uDff_7J0KD5mKrp0Vvzr7lt3OU09vwQwhkpOPPYv2Y/edit?usp=sharing"",""งบพรบ!BT39"")"),0)</f>
        <v>0</v>
      </c>
      <c r="M147" s="425">
        <f ca="1">IFERROR(__xludf.DUMMYFUNCTION("IMPORTRANGE(""https://docs.google.com/spreadsheets/d/1-uDff_7J0KD5mKrp0Vvzr7lt3OU09vwQwhkpOPPYv2Y/edit?usp=sharing"",""งบพรบ!BW39"")"),0)</f>
        <v>0</v>
      </c>
      <c r="N147" s="425">
        <f ca="1">IFERROR(__xludf.DUMMYFUNCTION("IMPORTRANGE(""https://docs.google.com/spreadsheets/d/1-uDff_7J0KD5mKrp0Vvzr7lt3OU09vwQwhkpOPPYv2Y/edit?usp=sharing"",""งบพรบ!BY39"")"),0)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x14ac:dyDescent="0.3">
      <c r="A150" s="535"/>
      <c r="B150" s="418"/>
      <c r="C150" s="418"/>
      <c r="D150" s="420"/>
      <c r="E150" s="570" t="s">
        <v>159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IFERROR(__xludf.DUMMYFUNCTION("IMPORTRANGE(""https://docs.google.com/spreadsheets/d/1eHaY18a8A9IcSdp1K8H6x8fbOy06t2VsZHhMHf-1x7Y/edit?usp=sharing"",""แผน!U39"")"),0)</f>
        <v>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IFERROR(__xludf.DUMMYFUNCTION("IMPORTRANGE(""https://docs.google.com/spreadsheets/d/1eHaY18a8A9IcSdp1K8H6x8fbOy06t2VsZHhMHf-1x7Y/edit?usp=sharing"",""แผน!V39"")"),0)</f>
        <v>0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x14ac:dyDescent="0.3">
      <c r="A152" s="535"/>
      <c r="B152" s="418"/>
      <c r="C152" s="418"/>
      <c r="D152" s="420"/>
      <c r="E152" s="570" t="s">
        <v>158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IFERROR(__xludf.DUMMYFUNCTION("IMPORTRANGE(""https://docs.google.com/spreadsheets/d/1eHaY18a8A9IcSdp1K8H6x8fbOy06t2VsZHhMHf-1x7Y/edit?usp=sharing"",""แผน!W39"")"),40)</f>
        <v>40</v>
      </c>
      <c r="J152" s="595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IFERROR(__xludf.DUMMYFUNCTION("IMPORTRANGE(""https://docs.google.com/spreadsheets/d/1eHaY18a8A9IcSdp1K8H6x8fbOy06t2VsZHhMHf-1x7Y/edit?usp=sharing"",""แผน!X39"")"),4)</f>
        <v>4</v>
      </c>
      <c r="J153" s="595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IFERROR(__xludf.DUMMYFUNCTION("IMPORTRANGE(""https://docs.google.com/spreadsheets/d/1eHaY18a8A9IcSdp1K8H6x8fbOy06t2VsZHhMHf-1x7Y/edit?usp=sharing"",""แผน!Y39"")"),0)</f>
        <v>0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hidden="1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hidden="1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I169</f>
        <v>0</v>
      </c>
      <c r="J156" s="705">
        <f>J169</f>
        <v>0</v>
      </c>
      <c r="K156" s="704">
        <f ca="1">IF(I156&gt;0,J156*100/I156,0)</f>
        <v>0</v>
      </c>
      <c r="L156" s="703"/>
      <c r="M156" s="703"/>
      <c r="N156" s="703"/>
      <c r="O156" s="703"/>
      <c r="P156" s="703"/>
    </row>
    <row r="157" spans="1:16" ht="19.5" hidden="1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hidden="1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hidden="1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hidden="1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IFERROR(__xludf.DUMMYFUNCTION("IMPORTRANGE(""https://docs.google.com/spreadsheets/d/1-uDff_7J0KD5mKrp0Vvzr7lt3OU09vwQwhkpOPPYv2Y/edit?usp=sharing"",""งบพรบ!CA39"")"),0)</f>
        <v>0</v>
      </c>
      <c r="M162" s="425">
        <f ca="1">IFERROR(__xludf.DUMMYFUNCTION("IMPORTRANGE(""https://docs.google.com/spreadsheets/d/1-uDff_7J0KD5mKrp0Vvzr7lt3OU09vwQwhkpOPPYv2Y/edit?usp=sharing"",""งบพรบ!CF39"")"),0)</f>
        <v>0</v>
      </c>
      <c r="N162" s="425">
        <f ca="1">IFERROR(__xludf.DUMMYFUNCTION("IMPORTRANGE(""https://docs.google.com/spreadsheets/d/1-uDff_7J0KD5mKrp0Vvzr7lt3OU09vwQwhkpOPPYv2Y/edit?usp=sharing"",""งบพรบ!CH39"")"),0)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hidden="1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hidden="1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IFERROR(__xludf.DUMMYFUNCTION("IMPORTRANGE(""https://docs.google.com/spreadsheets/d/1-uDff_7J0KD5mKrp0Vvzr7lt3OU09vwQwhkpOPPYv2Y/edit?usp=sharing"",""งบพรบ!CD39"")"),0)</f>
        <v>0</v>
      </c>
      <c r="M165" s="425">
        <f ca="1">IFERROR(__xludf.DUMMYFUNCTION("IMPORTRANGE(""https://docs.google.com/spreadsheets/d/1-uDff_7J0KD5mKrp0Vvzr7lt3OU09vwQwhkpOPPYv2Y/edit?usp=sharing"",""งบพรบ!CG39"")"),0)</f>
        <v>0</v>
      </c>
      <c r="N165" s="425">
        <f ca="1">IFERROR(__xludf.DUMMYFUNCTION("IMPORTRANGE(""https://docs.google.com/spreadsheets/d/1-uDff_7J0KD5mKrp0Vvzr7lt3OU09vwQwhkpOPPYv2Y/edit?usp=sharing"",""งบพรบ!CI39"")"),0)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hidden="1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hidden="1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IFERROR(__xludf.DUMMYFUNCTION("IMPORTRANGE(""https://docs.google.com/spreadsheets/d/1eHaY18a8A9IcSdp1K8H6x8fbOy06t2VsZHhMHf-1x7Y/edit?usp=sharing"",""แผน!Z39"")"),0)</f>
        <v>0</v>
      </c>
      <c r="J167" s="595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IFERROR(__xludf.DUMMYFUNCTION("IMPORTRANGE(""https://docs.google.com/spreadsheets/d/1eHaY18a8A9IcSdp1K8H6x8fbOy06t2VsZHhMHf-1x7Y/edit?usp=sharing"",""แผน!Z39"")"),0)</f>
        <v>0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IFERROR(__xludf.DUMMYFUNCTION("IMPORTRANGE(""https://docs.google.com/spreadsheets/d/1eHaY18a8A9IcSdp1K8H6x8fbOy06t2VsZHhMHf-1x7Y/edit?usp=sharing"",""แผน!Z39"")"),0)</f>
        <v>0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7</v>
      </c>
      <c r="J172" s="688">
        <f>J183+J184</f>
        <v>0</v>
      </c>
      <c r="K172" s="687">
        <f ca="1">IF(I172&gt;0,J172*100/I172,0)</f>
        <v>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19590</v>
      </c>
      <c r="M173" s="577">
        <f ca="1">M174+M175</f>
        <v>19590</v>
      </c>
      <c r="N173" s="577">
        <f ca="1">N174+N175</f>
        <v>0</v>
      </c>
      <c r="O173" s="577">
        <f ca="1">IF(L173&gt;0,N173*100/L173,0)</f>
        <v>0</v>
      </c>
      <c r="P173" s="577">
        <f ca="1">IF(M173&gt;0,N173*100/M173,0)</f>
        <v>0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19590</v>
      </c>
      <c r="N175" s="425">
        <f ca="1">N178+N181</f>
        <v>0</v>
      </c>
      <c r="O175" s="425">
        <f ca="1">IF(L175&gt;0,N175*100/L175,0)</f>
        <v>0</v>
      </c>
      <c r="P175" s="425">
        <f ca="1">IF(M175&gt;0,N175*100/M175,0)</f>
        <v>0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19590</v>
      </c>
      <c r="M176" s="425">
        <f ca="1">M177+M178</f>
        <v>19590</v>
      </c>
      <c r="N176" s="425">
        <f ca="1">N177+N178</f>
        <v>0</v>
      </c>
      <c r="O176" s="425">
        <f ca="1">IF(L176&gt;0,N176*100/L176,0)</f>
        <v>0</v>
      </c>
      <c r="P176" s="425">
        <f ca="1">IF(M176&gt;0,N176*100/M176,0)</f>
        <v>0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IFERROR(__xludf.DUMMYFUNCTION("IMPORTRANGE(""https://docs.google.com/spreadsheets/d/1-uDff_7J0KD5mKrp0Vvzr7lt3OU09vwQwhkpOPPYv2Y/edit?usp=sharing"",""งบพรบ!CK39"")"),19590)</f>
        <v>19590</v>
      </c>
      <c r="M178" s="425">
        <f ca="1">IFERROR(__xludf.DUMMYFUNCTION("IMPORTRANGE(""https://docs.google.com/spreadsheets/d/1-uDff_7J0KD5mKrp0Vvzr7lt3OU09vwQwhkpOPPYv2Y/edit?usp=sharing"",""งบพรบ!CP39"")"),19590)</f>
        <v>19590</v>
      </c>
      <c r="N178" s="425">
        <f ca="1">IFERROR(__xludf.DUMMYFUNCTION("IMPORTRANGE(""https://docs.google.com/spreadsheets/d/1-uDff_7J0KD5mKrp0Vvzr7lt3OU09vwQwhkpOPPYv2Y/edit?usp=sharing"",""งบพรบ!CR39"")"),0)</f>
        <v>0</v>
      </c>
      <c r="O178" s="425">
        <f ca="1">IF(L178&gt;0,N178*100/L178,0)</f>
        <v>0</v>
      </c>
      <c r="P178" s="425">
        <f ca="1">IF(M178&gt;0,N178*100/M178,0)</f>
        <v>0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IFERROR(__xludf.DUMMYFUNCTION("IMPORTRANGE(""https://docs.google.com/spreadsheets/d/1-uDff_7J0KD5mKrp0Vvzr7lt3OU09vwQwhkpOPPYv2Y/edit?usp=sharing"",""งบพรบ!CN39"")"),0)</f>
        <v>0</v>
      </c>
      <c r="M181" s="425">
        <f ca="1">IFERROR(__xludf.DUMMYFUNCTION("IMPORTRANGE(""https://docs.google.com/spreadsheets/d/1-uDff_7J0KD5mKrp0Vvzr7lt3OU09vwQwhkpOPPYv2Y/edit?usp=sharing"",""งบพรบ!CQ39"")"),0)</f>
        <v>0</v>
      </c>
      <c r="N181" s="425">
        <f ca="1">IFERROR(__xludf.DUMMYFUNCTION("IMPORTRANGE(""https://docs.google.com/spreadsheets/d/1-uDff_7J0KD5mKrp0Vvzr7lt3OU09vwQwhkpOPPYv2Y/edit?usp=sharing"",""งบพรบ!CS39"")"),0)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IFERROR(__xludf.DUMMYFUNCTION("IMPORTRANGE(""https://docs.google.com/spreadsheets/d/1eHaY18a8A9IcSdp1K8H6x8fbOy06t2VsZHhMHf-1x7Y/edit?usp=sharing"",""แผน!AA39"")"),7)</f>
        <v>7</v>
      </c>
      <c r="J183" s="595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0</v>
      </c>
      <c r="J185" s="688">
        <f>J230+J231</f>
        <v>0</v>
      </c>
      <c r="K185" s="687">
        <f ca="1">IF(I185&gt;0,J185*100/I185,0)</f>
        <v>0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43500</v>
      </c>
      <c r="M186" s="577">
        <f ca="1">M187+M188</f>
        <v>22500</v>
      </c>
      <c r="N186" s="577">
        <f ca="1">N187+N188</f>
        <v>0</v>
      </c>
      <c r="O186" s="577">
        <f ca="1">IF(L186&gt;0,N186*100/L186,0)</f>
        <v>0</v>
      </c>
      <c r="P186" s="577">
        <f ca="1">IF(M186&gt;0,N186*100/M186,0)</f>
        <v>0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43500</v>
      </c>
      <c r="M188" s="425">
        <f ca="1">M191+M194</f>
        <v>22500</v>
      </c>
      <c r="N188" s="425">
        <f ca="1">N191+N194</f>
        <v>0</v>
      </c>
      <c r="O188" s="425">
        <f ca="1">IF(L188&gt;0,N188*100/L188,0)</f>
        <v>0</v>
      </c>
      <c r="P188" s="425">
        <f ca="1">IF(M188&gt;0,N188*100/M188,0)</f>
        <v>0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43500</v>
      </c>
      <c r="M189" s="425">
        <f ca="1">M190+M191</f>
        <v>22500</v>
      </c>
      <c r="N189" s="425">
        <f ca="1">N190+N191</f>
        <v>0</v>
      </c>
      <c r="O189" s="425">
        <f ca="1">IF(L189&gt;0,N189*100/L189,0)</f>
        <v>0</v>
      </c>
      <c r="P189" s="425">
        <f ca="1">IF(M189&gt;0,N189*100/M189,0)</f>
        <v>0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IFERROR(__xludf.DUMMYFUNCTION("IMPORTRANGE(""https://docs.google.com/spreadsheets/d/1-uDff_7J0KD5mKrp0Vvzr7lt3OU09vwQwhkpOPPYv2Y/edit?usp=sharing"",""งบพรบ!CU39"")"),43500)</f>
        <v>43500</v>
      </c>
      <c r="M191" s="425">
        <f ca="1">IFERROR(__xludf.DUMMYFUNCTION("IMPORTRANGE(""https://docs.google.com/spreadsheets/d/1-uDff_7J0KD5mKrp0Vvzr7lt3OU09vwQwhkpOPPYv2Y/edit?usp=sharing"",""งบพรบ!CZ39"")"),22500)</f>
        <v>22500</v>
      </c>
      <c r="N191" s="425">
        <f ca="1">IFERROR(__xludf.DUMMYFUNCTION("IMPORTRANGE(""https://docs.google.com/spreadsheets/d/1-uDff_7J0KD5mKrp0Vvzr7lt3OU09vwQwhkpOPPYv2Y/edit?usp=sharing"",""งบพรบ!DB39"")"),0)</f>
        <v>0</v>
      </c>
      <c r="O191" s="425">
        <f ca="1">IF(L191&gt;0,N191*100/L191,0)</f>
        <v>0</v>
      </c>
      <c r="P191" s="425">
        <f ca="1">IF(M191&gt;0,N191*100/M191,0)</f>
        <v>0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IFERROR(__xludf.DUMMYFUNCTION("IMPORTRANGE(""https://docs.google.com/spreadsheets/d/1-uDff_7J0KD5mKrp0Vvzr7lt3OU09vwQwhkpOPPYv2Y/edit?usp=sharing"",""งบพรบ!CX39"")"),0)</f>
        <v>0</v>
      </c>
      <c r="M194" s="425">
        <f ca="1">IFERROR(__xludf.DUMMYFUNCTION("IMPORTRANGE(""https://docs.google.com/spreadsheets/d/1-uDff_7J0KD5mKrp0Vvzr7lt3OU09vwQwhkpOPPYv2Y/edit?usp=sharing"",""งบพรบ!DA39"")"),0)</f>
        <v>0</v>
      </c>
      <c r="N194" s="425">
        <f ca="1">IFERROR(__xludf.DUMMYFUNCTION("IMPORTRANGE(""https://docs.google.com/spreadsheets/d/1-uDff_7J0KD5mKrp0Vvzr7lt3OU09vwQwhkpOPPYv2Y/edit?usp=sharing"",""งบพรบ!DC39"")"),0)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0</v>
      </c>
      <c r="K195" s="439">
        <f ca="1">IF(I195&gt;0,J195*100/I195,0)</f>
        <v>0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IFERROR(__xludf.DUMMYFUNCTION("IMPORTRANGE(""https://docs.google.com/spreadsheets/d/1eHaY18a8A9IcSdp1K8H6x8fbOy06t2VsZHhMHf-1x7Y/edit?usp=sharing"",""แผน!AB39"")"),6000)</f>
        <v>6000</v>
      </c>
      <c r="M196" s="428"/>
      <c r="N196" s="686">
        <v>0</v>
      </c>
      <c r="O196" s="577">
        <f ca="1">IF(L196&gt;0,N196*100/L196,0)</f>
        <v>0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IFERROR(__xludf.DUMMYFUNCTION("IMPORTRANGE(""https://docs.google.com/spreadsheets/d/1eHaY18a8A9IcSdp1K8H6x8fbOy06t2VsZHhMHf-1x7Y/edit?usp=sharing"",""แผน!AE39"")"),4)</f>
        <v>4</v>
      </c>
      <c r="J198" s="595">
        <v>0</v>
      </c>
      <c r="K198" s="425">
        <f ca="1">IF(I198&gt;0,J198*100/I198,0)</f>
        <v>0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2</v>
      </c>
      <c r="J202" s="438">
        <f>J209</f>
        <v>0</v>
      </c>
      <c r="K202" s="439">
        <f ca="1">IF(I202&gt;0,J202*100/I202,0)</f>
        <v>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29000</v>
      </c>
      <c r="M203" s="428"/>
      <c r="N203" s="577">
        <f>N204+N205+N206+N207</f>
        <v>0</v>
      </c>
      <c r="O203" s="577">
        <f ca="1">IF(L203&gt;0,N203*100/L203,0)</f>
        <v>0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2" t="s">
        <v>157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IFERROR(__xludf.DUMMYFUNCTION("IMPORTRANGE(""https://docs.google.com/spreadsheets/d/1eHaY18a8A9IcSdp1K8H6x8fbOy06t2VsZHhMHf-1x7Y/edit?usp=sharing"",""แผน!AG39"")"),2000)</f>
        <v>2000</v>
      </c>
      <c r="M204" s="428"/>
      <c r="N204" s="683">
        <v>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IFERROR(__xludf.DUMMYFUNCTION("IMPORTRANGE(""https://docs.google.com/spreadsheets/d/1eHaY18a8A9IcSdp1K8H6x8fbOy06t2VsZHhMHf-1x7Y/edit?usp=sharing"",""แผน!AH39"")"),0)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IFERROR(__xludf.DUMMYFUNCTION("IMPORTRANGE(""https://docs.google.com/spreadsheets/d/1eHaY18a8A9IcSdp1K8H6x8fbOy06t2VsZHhMHf-1x7Y/edit?usp=sharing"",""แผน!AI39"")"),16000)</f>
        <v>16000</v>
      </c>
      <c r="M206" s="428"/>
      <c r="N206" s="683">
        <v>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IFERROR(__xludf.DUMMYFUNCTION("IMPORTRANGE(""https://docs.google.com/spreadsheets/d/1eHaY18a8A9IcSdp1K8H6x8fbOy06t2VsZHhMHf-1x7Y/edit?usp=sharing"",""แผน!AJ39"")"),11000)</f>
        <v>11000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IFERROR(__xludf.DUMMYFUNCTION("IMPORTRANGE(""https://docs.google.com/spreadsheets/d/1eHaY18a8A9IcSdp1K8H6x8fbOy06t2VsZHhMHf-1x7Y/edit?usp=sharing"",""แผน!AK39"")"),2)</f>
        <v>2</v>
      </c>
      <c r="J209" s="595">
        <v>0</v>
      </c>
      <c r="K209" s="621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IFERROR(__xludf.DUMMYFUNCTION("IMPORTRANGE(""https://docs.google.com/spreadsheets/d/1eHaY18a8A9IcSdp1K8H6x8fbOy06t2VsZHhMHf-1x7Y/edit?usp=sharing"",""แผน!JX39"")"),2)</f>
        <v>2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IFERROR(__xludf.DUMMYFUNCTION("IMPORTRANGE(""https://docs.google.com/spreadsheets/d/1eHaY18a8A9IcSdp1K8H6x8fbOy06t2VsZHhMHf-1x7Y/edit?usp=sharing"",""แผน!JY39"")"),1)</f>
        <v>1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hidden="1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0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hidden="1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hidden="1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IFERROR(__xludf.DUMMYFUNCTION("IMPORTRANGE(""https://docs.google.com/spreadsheets/d/1eHaY18a8A9IcSdp1K8H6x8fbOy06t2VsZHhMHf-1x7Y/edit?usp=sharing"",""แผน!AM39"")"),0)</f>
        <v>0</v>
      </c>
      <c r="M215" s="428"/>
      <c r="N215" s="683">
        <v>0</v>
      </c>
      <c r="O215" s="525"/>
      <c r="P215" s="428"/>
    </row>
    <row r="216" spans="1:16" ht="18.75" hidden="1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IFERROR(__xludf.DUMMYFUNCTION("IMPORTRANGE(""https://docs.google.com/spreadsheets/d/1eHaY18a8A9IcSdp1K8H6x8fbOy06t2VsZHhMHf-1x7Y/edit?usp=sharing"",""แผน!AN39"")"),0)</f>
        <v>0</v>
      </c>
      <c r="M216" s="428"/>
      <c r="N216" s="683">
        <v>0</v>
      </c>
      <c r="O216" s="525"/>
      <c r="P216" s="428"/>
    </row>
    <row r="217" spans="1:16" ht="18.75" hidden="1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IFERROR(__xludf.DUMMYFUNCTION("IMPORTRANGE(""https://docs.google.com/spreadsheets/d/1eHaY18a8A9IcSdp1K8H6x8fbOy06t2VsZHhMHf-1x7Y/edit?usp=sharing"",""แผน!AO39"")"),0)</f>
        <v>0</v>
      </c>
      <c r="M217" s="428"/>
      <c r="N217" s="683">
        <v>0</v>
      </c>
      <c r="O217" s="525"/>
      <c r="P217" s="428"/>
    </row>
    <row r="218" spans="1:16" ht="19.5" hidden="1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hidden="1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IFERROR(__xludf.DUMMYFUNCTION("IMPORTRANGE(""https://docs.google.com/spreadsheets/d/1eHaY18a8A9IcSdp1K8H6x8fbOy06t2VsZHhMHf-1x7Y/edit?usp=sharing"",""แผน!AP39"")"),0)</f>
        <v>0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hidden="1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IFERROR(__xludf.DUMMYFUNCTION("IMPORTRANGE(""https://docs.google.com/spreadsheets/d/1eHaY18a8A9IcSdp1K8H6x8fbOy06t2VsZHhMHf-1x7Y/edit?usp=sharing"",""แผน!AP39"")"),0)</f>
        <v>0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50000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8500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2" t="s">
        <v>156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IFERROR(__xludf.DUMMYFUNCTION("IMPORTRANGE(""https://docs.google.com/spreadsheets/d/1eHaY18a8A9IcSdp1K8H6x8fbOy06t2VsZHhMHf-1x7Y/edit?usp=sharing"",""แผน!AR39"")"),7000)</f>
        <v>7000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IFERROR(__xludf.DUMMYFUNCTION("IMPORTRANGE(""https://docs.google.com/spreadsheets/d/1eHaY18a8A9IcSdp1K8H6x8fbOy06t2VsZHhMHf-1x7Y/edit?usp=sharing"",""แผน!AS39"")"),1500)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IFERROR(__xludf.DUMMYFUNCTION("IMPORTRANGE(""https://docs.google.com/spreadsheets/d/1eHaY18a8A9IcSdp1K8H6x8fbOy06t2VsZHhMHf-1x7Y/edit?usp=sharing"",""แผน!AT39"")"),0)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IFERROR(__xludf.DUMMYFUNCTION("IMPORTRANGE(""https://docs.google.com/spreadsheets/d/1eHaY18a8A9IcSdp1K8H6x8fbOy06t2VsZHhMHf-1x7Y/edit?usp=sharing"",""แผน!AV39"")"),50000)</f>
        <v>50000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IFERROR(__xludf.DUMMYFUNCTION("IMPORTRANGE(""https://docs.google.com/spreadsheets/d/1eHaY18a8A9IcSdp1K8H6x8fbOy06t2VsZHhMHf-1x7Y/edit?usp=sharing"",""แผน!AV39"")"),50000)</f>
        <v>50000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IFERROR(__xludf.DUMMYFUNCTION("IMPORTRANGE(""https://docs.google.com/spreadsheets/d/1eHaY18a8A9IcSdp1K8H6x8fbOy06t2VsZHhMHf-1x7Y/edit?usp=sharing"",""แผน!AU39"")"),0)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432"/>
      <c r="B231" s="434"/>
      <c r="C231" s="682" t="s">
        <v>99</v>
      </c>
      <c r="D231" s="433"/>
      <c r="E231" s="433"/>
      <c r="F231" s="433"/>
      <c r="G231" s="436"/>
      <c r="H231" s="437" t="s">
        <v>33</v>
      </c>
      <c r="I231" s="438">
        <f ca="1">I242+I253</f>
        <v>0</v>
      </c>
      <c r="J231" s="438">
        <f>J242+J253</f>
        <v>0</v>
      </c>
      <c r="K231" s="439">
        <f ca="1">IF(I231&gt;0,J231*100/I231,0)</f>
        <v>0</v>
      </c>
      <c r="L231" s="571"/>
      <c r="M231" s="571"/>
      <c r="N231" s="571"/>
      <c r="O231" s="571"/>
      <c r="P231" s="571"/>
    </row>
    <row r="232" spans="1:16" ht="19.5" hidden="1" x14ac:dyDescent="0.3">
      <c r="A232" s="535"/>
      <c r="B232" s="418"/>
      <c r="C232" s="570" t="s">
        <v>16</v>
      </c>
      <c r="D232" s="579" t="s">
        <v>17</v>
      </c>
      <c r="E232" s="418"/>
      <c r="F232" s="418"/>
      <c r="G232" s="422"/>
      <c r="H232" s="681" t="s">
        <v>12</v>
      </c>
      <c r="I232" s="526"/>
      <c r="J232" s="526"/>
      <c r="K232" s="525"/>
      <c r="L232" s="577">
        <f ca="1">L243+L254</f>
        <v>0</v>
      </c>
      <c r="M232" s="428"/>
      <c r="N232" s="577">
        <f>N243+N254</f>
        <v>0</v>
      </c>
      <c r="O232" s="428"/>
      <c r="P232" s="428"/>
    </row>
    <row r="233" spans="1:16" ht="18.75" hidden="1" x14ac:dyDescent="0.25">
      <c r="A233" s="535"/>
      <c r="B233" s="419"/>
      <c r="C233" s="418"/>
      <c r="D233" s="293" t="s">
        <v>80</v>
      </c>
      <c r="E233" s="418"/>
      <c r="F233" s="418"/>
      <c r="G233" s="422"/>
      <c r="H233" s="576" t="s">
        <v>12</v>
      </c>
      <c r="I233" s="526"/>
      <c r="J233" s="526"/>
      <c r="K233" s="525"/>
      <c r="L233" s="425">
        <f ca="1">L244+L255</f>
        <v>0</v>
      </c>
      <c r="M233" s="428"/>
      <c r="N233" s="425">
        <f>N244+N255</f>
        <v>0</v>
      </c>
      <c r="O233" s="428"/>
      <c r="P233" s="428"/>
    </row>
    <row r="234" spans="1:16" ht="18.75" hidden="1" x14ac:dyDescent="0.25">
      <c r="A234" s="417"/>
      <c r="B234" s="419"/>
      <c r="C234" s="419"/>
      <c r="D234" s="293" t="s">
        <v>82</v>
      </c>
      <c r="E234" s="418"/>
      <c r="F234" s="418"/>
      <c r="G234" s="422"/>
      <c r="H234" s="576" t="s">
        <v>12</v>
      </c>
      <c r="I234" s="427"/>
      <c r="J234" s="427"/>
      <c r="K234" s="428"/>
      <c r="L234" s="425">
        <f ca="1">L245+L256</f>
        <v>0</v>
      </c>
      <c r="M234" s="428"/>
      <c r="N234" s="425">
        <f>N245+N256</f>
        <v>0</v>
      </c>
      <c r="O234" s="428"/>
      <c r="P234" s="428"/>
    </row>
    <row r="235" spans="1:16" ht="18.75" hidden="1" x14ac:dyDescent="0.25">
      <c r="A235" s="417"/>
      <c r="B235" s="419"/>
      <c r="C235" s="419"/>
      <c r="D235" s="293" t="s">
        <v>100</v>
      </c>
      <c r="E235" s="418"/>
      <c r="F235" s="418"/>
      <c r="G235" s="422"/>
      <c r="H235" s="576" t="s">
        <v>12</v>
      </c>
      <c r="I235" s="427"/>
      <c r="J235" s="427"/>
      <c r="K235" s="428"/>
      <c r="L235" s="425">
        <f ca="1">L246+L257</f>
        <v>0</v>
      </c>
      <c r="M235" s="428"/>
      <c r="N235" s="425">
        <f>N246+N257</f>
        <v>0</v>
      </c>
      <c r="O235" s="428"/>
      <c r="P235" s="428"/>
    </row>
    <row r="236" spans="1:16" ht="18.75" hidden="1" x14ac:dyDescent="0.25">
      <c r="A236" s="417"/>
      <c r="B236" s="419"/>
      <c r="C236" s="419"/>
      <c r="D236" s="293" t="s">
        <v>101</v>
      </c>
      <c r="E236" s="418"/>
      <c r="F236" s="418"/>
      <c r="G236" s="422"/>
      <c r="H236" s="576" t="s">
        <v>12</v>
      </c>
      <c r="I236" s="427"/>
      <c r="J236" s="427"/>
      <c r="K236" s="428"/>
      <c r="L236" s="425">
        <f ca="1">L247+L258</f>
        <v>0</v>
      </c>
      <c r="M236" s="428"/>
      <c r="N236" s="425">
        <f>N247+N258</f>
        <v>0</v>
      </c>
      <c r="O236" s="428"/>
      <c r="P236" s="428"/>
    </row>
    <row r="237" spans="1:16" ht="19.5" hidden="1" x14ac:dyDescent="0.3">
      <c r="A237" s="532"/>
      <c r="B237" s="430"/>
      <c r="C237" s="680" t="s">
        <v>16</v>
      </c>
      <c r="D237" s="569" t="s">
        <v>36</v>
      </c>
      <c r="E237" s="529"/>
      <c r="F237" s="529"/>
      <c r="G237" s="528"/>
      <c r="H237" s="527"/>
      <c r="I237" s="526"/>
      <c r="J237" s="427"/>
      <c r="K237" s="428"/>
      <c r="L237" s="428"/>
      <c r="M237" s="428"/>
      <c r="N237" s="428"/>
      <c r="O237" s="525"/>
      <c r="P237" s="525"/>
    </row>
    <row r="238" spans="1:16" ht="18.75" hidden="1" x14ac:dyDescent="0.25">
      <c r="A238" s="532"/>
      <c r="B238" s="430"/>
      <c r="C238" s="430"/>
      <c r="D238" s="421" t="s">
        <v>102</v>
      </c>
      <c r="E238" s="420"/>
      <c r="F238" s="420"/>
      <c r="G238" s="527"/>
      <c r="H238" s="566" t="s">
        <v>33</v>
      </c>
      <c r="I238" s="424">
        <f ca="1">I249+I260</f>
        <v>0</v>
      </c>
      <c r="J238" s="424">
        <f>J249+J260</f>
        <v>0</v>
      </c>
      <c r="K238" s="425">
        <f ca="1">IF(I238&gt;0,J238*100/I238,0)</f>
        <v>0</v>
      </c>
      <c r="L238" s="428"/>
      <c r="M238" s="428"/>
      <c r="N238" s="428"/>
      <c r="O238" s="428"/>
      <c r="P238" s="428"/>
    </row>
    <row r="239" spans="1:16" ht="18.75" hidden="1" x14ac:dyDescent="0.25">
      <c r="A239" s="532"/>
      <c r="B239" s="430"/>
      <c r="C239" s="430"/>
      <c r="D239" s="679" t="s">
        <v>41</v>
      </c>
      <c r="E239" s="420"/>
      <c r="F239" s="420"/>
      <c r="G239" s="527"/>
      <c r="H239" s="527"/>
      <c r="I239" s="427"/>
      <c r="J239" s="427"/>
      <c r="K239" s="428"/>
      <c r="L239" s="428"/>
      <c r="M239" s="428"/>
      <c r="N239" s="428"/>
      <c r="O239" s="525"/>
      <c r="P239" s="525"/>
    </row>
    <row r="240" spans="1:16" ht="18.75" hidden="1" x14ac:dyDescent="0.25">
      <c r="A240" s="532"/>
      <c r="B240" s="430"/>
      <c r="C240" s="430"/>
      <c r="D240" s="430"/>
      <c r="E240" s="567" t="s">
        <v>103</v>
      </c>
      <c r="F240" s="420"/>
      <c r="G240" s="527"/>
      <c r="H240" s="566" t="s">
        <v>33</v>
      </c>
      <c r="I240" s="424">
        <f>I251+I262</f>
        <v>0</v>
      </c>
      <c r="J240" s="424">
        <f>J251+J262</f>
        <v>0</v>
      </c>
      <c r="K240" s="425">
        <f>IF(I240&gt;0,J240*100/I240,0)</f>
        <v>0</v>
      </c>
      <c r="L240" s="428"/>
      <c r="M240" s="428"/>
      <c r="N240" s="428"/>
      <c r="O240" s="428"/>
      <c r="P240" s="428"/>
    </row>
    <row r="241" spans="1:16" ht="18.75" hidden="1" x14ac:dyDescent="0.25">
      <c r="A241" s="532"/>
      <c r="B241" s="430"/>
      <c r="C241" s="430"/>
      <c r="D241" s="430"/>
      <c r="E241" s="567" t="s">
        <v>104</v>
      </c>
      <c r="F241" s="420"/>
      <c r="G241" s="527"/>
      <c r="H241" s="566" t="s">
        <v>54</v>
      </c>
      <c r="I241" s="424">
        <f>I252+I263</f>
        <v>0</v>
      </c>
      <c r="J241" s="424">
        <f>J252+J263</f>
        <v>0</v>
      </c>
      <c r="K241" s="425">
        <f>IF(I241&gt;0,J241*100/I241,0)</f>
        <v>0</v>
      </c>
      <c r="L241" s="428"/>
      <c r="M241" s="428"/>
      <c r="N241" s="428"/>
      <c r="O241" s="428"/>
      <c r="P241" s="428"/>
    </row>
    <row r="242" spans="1:16" ht="19.5" hidden="1" x14ac:dyDescent="0.3">
      <c r="A242" s="432"/>
      <c r="B242" s="434"/>
      <c r="C242" s="678" t="s">
        <v>105</v>
      </c>
      <c r="D242" s="433"/>
      <c r="E242" s="433"/>
      <c r="F242" s="433"/>
      <c r="G242" s="436"/>
      <c r="H242" s="677" t="s">
        <v>33</v>
      </c>
      <c r="I242" s="676">
        <f ca="1">I249</f>
        <v>0</v>
      </c>
      <c r="J242" s="676">
        <f>J249</f>
        <v>0</v>
      </c>
      <c r="K242" s="675">
        <f ca="1">IF(I242&gt;0,J242*100/I242,0)</f>
        <v>0</v>
      </c>
      <c r="L242" s="571"/>
      <c r="M242" s="571"/>
      <c r="N242" s="571"/>
      <c r="O242" s="571"/>
      <c r="P242" s="571"/>
    </row>
    <row r="243" spans="1:16" ht="19.5" hidden="1" x14ac:dyDescent="0.3">
      <c r="A243" s="535"/>
      <c r="B243" s="418"/>
      <c r="C243" s="531" t="s">
        <v>16</v>
      </c>
      <c r="D243" s="541" t="s">
        <v>17</v>
      </c>
      <c r="E243" s="418"/>
      <c r="F243" s="418"/>
      <c r="G243" s="422"/>
      <c r="H243" s="673" t="s">
        <v>12</v>
      </c>
      <c r="I243" s="526"/>
      <c r="J243" s="526"/>
      <c r="K243" s="525"/>
      <c r="L243" s="539">
        <f ca="1">L244+L245+L246+L247</f>
        <v>0</v>
      </c>
      <c r="M243" s="428"/>
      <c r="N243" s="539">
        <f>N244+N245+N246+N247</f>
        <v>0</v>
      </c>
      <c r="O243" s="539">
        <f ca="1">IF(L243&gt;0,N243*100/L243,0)</f>
        <v>0</v>
      </c>
      <c r="P243" s="539">
        <f>IF(M243&gt;0,N243*100/M243,0)</f>
        <v>0</v>
      </c>
    </row>
    <row r="244" spans="1:16" ht="18.75" hidden="1" x14ac:dyDescent="0.25">
      <c r="A244" s="535"/>
      <c r="B244" s="419"/>
      <c r="C244" s="418"/>
      <c r="D244" s="534" t="s">
        <v>80</v>
      </c>
      <c r="E244" s="418"/>
      <c r="F244" s="418"/>
      <c r="G244" s="422"/>
      <c r="H244" s="536" t="s">
        <v>12</v>
      </c>
      <c r="I244" s="526"/>
      <c r="J244" s="526"/>
      <c r="K244" s="525"/>
      <c r="L244" s="521">
        <f ca="1">IFERROR(__xludf.DUMMYFUNCTION("IMPORTRANGE(""https://docs.google.com/spreadsheets/d/1eHaY18a8A9IcSdp1K8H6x8fbOy06t2VsZHhMHf-1x7Y/edit?usp=sharing"",""แผน!AX39"")"),0)</f>
        <v>0</v>
      </c>
      <c r="M244" s="428"/>
      <c r="N244" s="672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34" t="s">
        <v>82</v>
      </c>
      <c r="E245" s="418"/>
      <c r="F245" s="418"/>
      <c r="G245" s="422"/>
      <c r="H245" s="536" t="s">
        <v>12</v>
      </c>
      <c r="I245" s="427"/>
      <c r="J245" s="427"/>
      <c r="K245" s="428"/>
      <c r="L245" s="521">
        <f ca="1">IFERROR(__xludf.DUMMYFUNCTION("IMPORTRANGE(""https://docs.google.com/spreadsheets/d/1eHaY18a8A9IcSdp1K8H6x8fbOy06t2VsZHhMHf-1x7Y/edit?usp=sharing"",""แผน!AY39"")"),0)</f>
        <v>0</v>
      </c>
      <c r="M245" s="428"/>
      <c r="N245" s="672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34" t="s">
        <v>100</v>
      </c>
      <c r="E246" s="418"/>
      <c r="F246" s="418"/>
      <c r="G246" s="422"/>
      <c r="H246" s="536" t="s">
        <v>12</v>
      </c>
      <c r="I246" s="427"/>
      <c r="J246" s="427"/>
      <c r="K246" s="428"/>
      <c r="L246" s="521">
        <f ca="1">IFERROR(__xludf.DUMMYFUNCTION("IMPORTRANGE(""https://docs.google.com/spreadsheets/d/1eHaY18a8A9IcSdp1K8H6x8fbOy06t2VsZHhMHf-1x7Y/edit?usp=sharing"",""แผน!AZ39"")"),0)</f>
        <v>0</v>
      </c>
      <c r="M246" s="428"/>
      <c r="N246" s="672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34" t="s">
        <v>101</v>
      </c>
      <c r="E247" s="418"/>
      <c r="F247" s="418"/>
      <c r="G247" s="422"/>
      <c r="H247" s="536" t="s">
        <v>12</v>
      </c>
      <c r="I247" s="427"/>
      <c r="J247" s="427"/>
      <c r="K247" s="428"/>
      <c r="L247" s="521">
        <f ca="1">IFERROR(__xludf.DUMMYFUNCTION("IMPORTRANGE(""https://docs.google.com/spreadsheets/d/1eHaY18a8A9IcSdp1K8H6x8fbOy06t2VsZHhMHf-1x7Y/edit?usp=sharing"",""แผน!BA39"")"),0)</f>
        <v>0</v>
      </c>
      <c r="M247" s="428"/>
      <c r="N247" s="672">
        <v>0</v>
      </c>
      <c r="O247" s="428"/>
      <c r="P247" s="428"/>
    </row>
    <row r="248" spans="1:16" ht="19.5" hidden="1" x14ac:dyDescent="0.3">
      <c r="A248" s="532"/>
      <c r="B248" s="430"/>
      <c r="C248" s="671" t="s">
        <v>16</v>
      </c>
      <c r="D248" s="530" t="s">
        <v>36</v>
      </c>
      <c r="E248" s="529"/>
      <c r="F248" s="529"/>
      <c r="G248" s="528"/>
      <c r="H248" s="527"/>
      <c r="I248" s="526"/>
      <c r="J248" s="427"/>
      <c r="K248" s="428"/>
      <c r="L248" s="428"/>
      <c r="M248" s="428"/>
      <c r="N248" s="428"/>
      <c r="O248" s="525"/>
      <c r="P248" s="525"/>
    </row>
    <row r="249" spans="1:16" ht="18.75" hidden="1" x14ac:dyDescent="0.25">
      <c r="A249" s="532"/>
      <c r="B249" s="430"/>
      <c r="C249" s="430"/>
      <c r="D249" s="524" t="s">
        <v>102</v>
      </c>
      <c r="E249" s="420"/>
      <c r="F249" s="420"/>
      <c r="G249" s="527"/>
      <c r="H249" s="668" t="s">
        <v>33</v>
      </c>
      <c r="I249" s="199">
        <f ca="1">IFERROR(__xludf.DUMMYFUNCTION("IMPORTRANGE(""https://docs.google.com/spreadsheets/d/1eHaY18a8A9IcSdp1K8H6x8fbOy06t2VsZHhMHf-1x7Y/edit?usp=sharing"",""แผน!BG39"")"),0)</f>
        <v>0</v>
      </c>
      <c r="J249" s="522">
        <v>0</v>
      </c>
      <c r="K249" s="521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2"/>
      <c r="B250" s="430"/>
      <c r="C250" s="430"/>
      <c r="D250" s="670" t="s">
        <v>41</v>
      </c>
      <c r="E250" s="420"/>
      <c r="F250" s="420"/>
      <c r="G250" s="527"/>
      <c r="H250" s="527"/>
      <c r="I250" s="427"/>
      <c r="J250" s="427"/>
      <c r="K250" s="428"/>
      <c r="L250" s="428"/>
      <c r="M250" s="428"/>
      <c r="N250" s="428"/>
      <c r="O250" s="525"/>
      <c r="P250" s="525"/>
    </row>
    <row r="251" spans="1:16" ht="18.75" hidden="1" x14ac:dyDescent="0.25">
      <c r="A251" s="532"/>
      <c r="B251" s="430"/>
      <c r="C251" s="430"/>
      <c r="D251" s="430"/>
      <c r="E251" s="669" t="s">
        <v>103</v>
      </c>
      <c r="F251" s="420"/>
      <c r="G251" s="527"/>
      <c r="H251" s="668" t="s">
        <v>33</v>
      </c>
      <c r="I251" s="199">
        <v>0</v>
      </c>
      <c r="J251" s="522">
        <v>0</v>
      </c>
      <c r="K251" s="521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2"/>
      <c r="B252" s="430"/>
      <c r="C252" s="430"/>
      <c r="D252" s="430"/>
      <c r="E252" s="669" t="s">
        <v>104</v>
      </c>
      <c r="F252" s="420"/>
      <c r="G252" s="527"/>
      <c r="H252" s="668" t="s">
        <v>54</v>
      </c>
      <c r="I252" s="199">
        <v>0</v>
      </c>
      <c r="J252" s="522">
        <v>0</v>
      </c>
      <c r="K252" s="521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78" t="s">
        <v>106</v>
      </c>
      <c r="D253" s="433"/>
      <c r="E253" s="433"/>
      <c r="F253" s="433"/>
      <c r="G253" s="436"/>
      <c r="H253" s="677" t="s">
        <v>33</v>
      </c>
      <c r="I253" s="676">
        <f ca="1">I260</f>
        <v>0</v>
      </c>
      <c r="J253" s="676">
        <f>J260</f>
        <v>0</v>
      </c>
      <c r="K253" s="675">
        <f ca="1">IF(I253&gt;0,J253*100/I253,0)</f>
        <v>0</v>
      </c>
      <c r="L253" s="571"/>
      <c r="M253" s="571"/>
      <c r="N253" s="571"/>
      <c r="O253" s="571"/>
      <c r="P253" s="571"/>
    </row>
    <row r="254" spans="1:16" ht="19.5" hidden="1" x14ac:dyDescent="0.3">
      <c r="A254" s="535"/>
      <c r="B254" s="418"/>
      <c r="C254" s="531" t="s">
        <v>16</v>
      </c>
      <c r="D254" s="674" t="s">
        <v>17</v>
      </c>
      <c r="E254" s="418"/>
      <c r="F254" s="418"/>
      <c r="G254" s="422"/>
      <c r="H254" s="673" t="s">
        <v>12</v>
      </c>
      <c r="I254" s="526"/>
      <c r="J254" s="526"/>
      <c r="K254" s="525"/>
      <c r="L254" s="539">
        <f ca="1">L255+L256+L257+L258</f>
        <v>0</v>
      </c>
      <c r="M254" s="428"/>
      <c r="N254" s="539">
        <f>N255+N256+N257+N258</f>
        <v>0</v>
      </c>
      <c r="O254" s="539">
        <f ca="1">IF(L254&gt;0,N254*100/L254,0)</f>
        <v>0</v>
      </c>
      <c r="P254" s="539">
        <f>IF(M254&gt;0,N254*100/M254,0)</f>
        <v>0</v>
      </c>
    </row>
    <row r="255" spans="1:16" ht="18.75" hidden="1" x14ac:dyDescent="0.25">
      <c r="A255" s="535"/>
      <c r="B255" s="419"/>
      <c r="C255" s="418"/>
      <c r="D255" s="534" t="s">
        <v>80</v>
      </c>
      <c r="E255" s="418"/>
      <c r="F255" s="418"/>
      <c r="G255" s="422"/>
      <c r="H255" s="536" t="s">
        <v>12</v>
      </c>
      <c r="I255" s="526"/>
      <c r="J255" s="526"/>
      <c r="K255" s="525"/>
      <c r="L255" s="521">
        <f ca="1">IFERROR(__xludf.DUMMYFUNCTION("IMPORTRANGE(""https://docs.google.com/spreadsheets/d/1eHaY18a8A9IcSdp1K8H6x8fbOy06t2VsZHhMHf-1x7Y/edit?usp=sharing"",""แผน!BB39"")"),0)</f>
        <v>0</v>
      </c>
      <c r="M255" s="428"/>
      <c r="N255" s="672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34" t="s">
        <v>82</v>
      </c>
      <c r="E256" s="418"/>
      <c r="F256" s="418"/>
      <c r="G256" s="422"/>
      <c r="H256" s="536" t="s">
        <v>12</v>
      </c>
      <c r="I256" s="427"/>
      <c r="J256" s="427"/>
      <c r="K256" s="428"/>
      <c r="L256" s="521">
        <f ca="1">IFERROR(__xludf.DUMMYFUNCTION("IMPORTRANGE(""https://docs.google.com/spreadsheets/d/1eHaY18a8A9IcSdp1K8H6x8fbOy06t2VsZHhMHf-1x7Y/edit?usp=sharing"",""แผน!BC39"")"),0)</f>
        <v>0</v>
      </c>
      <c r="M256" s="428"/>
      <c r="N256" s="672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34" t="s">
        <v>100</v>
      </c>
      <c r="E257" s="418"/>
      <c r="F257" s="418"/>
      <c r="G257" s="422"/>
      <c r="H257" s="536" t="s">
        <v>12</v>
      </c>
      <c r="I257" s="427"/>
      <c r="J257" s="427"/>
      <c r="K257" s="428"/>
      <c r="L257" s="521">
        <f ca="1">IFERROR(__xludf.DUMMYFUNCTION("IMPORTRANGE(""https://docs.google.com/spreadsheets/d/1eHaY18a8A9IcSdp1K8H6x8fbOy06t2VsZHhMHf-1x7Y/edit?usp=sharing"",""แผน!BD39"")"),0)</f>
        <v>0</v>
      </c>
      <c r="M257" s="428"/>
      <c r="N257" s="672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34" t="s">
        <v>101</v>
      </c>
      <c r="E258" s="418"/>
      <c r="F258" s="418"/>
      <c r="G258" s="422"/>
      <c r="H258" s="536" t="s">
        <v>12</v>
      </c>
      <c r="I258" s="427"/>
      <c r="J258" s="427"/>
      <c r="K258" s="428"/>
      <c r="L258" s="521">
        <f ca="1">IFERROR(__xludf.DUMMYFUNCTION("IMPORTRANGE(""https://docs.google.com/spreadsheets/d/1eHaY18a8A9IcSdp1K8H6x8fbOy06t2VsZHhMHf-1x7Y/edit?usp=sharing"",""แผน!BE39"")"),0)</f>
        <v>0</v>
      </c>
      <c r="M258" s="428"/>
      <c r="N258" s="672">
        <v>0</v>
      </c>
      <c r="O258" s="428"/>
      <c r="P258" s="428"/>
    </row>
    <row r="259" spans="1:16" ht="19.5" hidden="1" x14ac:dyDescent="0.3">
      <c r="A259" s="532"/>
      <c r="B259" s="430"/>
      <c r="C259" s="671" t="s">
        <v>16</v>
      </c>
      <c r="D259" s="530" t="s">
        <v>36</v>
      </c>
      <c r="E259" s="529"/>
      <c r="F259" s="529"/>
      <c r="G259" s="528"/>
      <c r="H259" s="527"/>
      <c r="I259" s="526"/>
      <c r="J259" s="427"/>
      <c r="K259" s="428"/>
      <c r="L259" s="428"/>
      <c r="M259" s="428"/>
      <c r="N259" s="428"/>
      <c r="O259" s="525"/>
      <c r="P259" s="525"/>
    </row>
    <row r="260" spans="1:16" ht="18.75" hidden="1" x14ac:dyDescent="0.25">
      <c r="A260" s="532"/>
      <c r="B260" s="430"/>
      <c r="C260" s="430"/>
      <c r="D260" s="524" t="s">
        <v>102</v>
      </c>
      <c r="E260" s="420"/>
      <c r="F260" s="420"/>
      <c r="G260" s="527"/>
      <c r="H260" s="668" t="s">
        <v>33</v>
      </c>
      <c r="I260" s="199">
        <f ca="1">IFERROR(__xludf.DUMMYFUNCTION("IMPORTRANGE(""https://docs.google.com/spreadsheets/d/1eHaY18a8A9IcSdp1K8H6x8fbOy06t2VsZHhMHf-1x7Y/edit?usp=sharing"",""แผน!BH39"")"),0)</f>
        <v>0</v>
      </c>
      <c r="J260" s="522">
        <v>0</v>
      </c>
      <c r="K260" s="521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2"/>
      <c r="B261" s="430"/>
      <c r="C261" s="430"/>
      <c r="D261" s="670" t="s">
        <v>41</v>
      </c>
      <c r="E261" s="420"/>
      <c r="F261" s="420"/>
      <c r="G261" s="527"/>
      <c r="H261" s="527"/>
      <c r="I261" s="427"/>
      <c r="J261" s="427"/>
      <c r="K261" s="428"/>
      <c r="L261" s="428"/>
      <c r="M261" s="428"/>
      <c r="N261" s="428"/>
      <c r="O261" s="525"/>
      <c r="P261" s="525"/>
    </row>
    <row r="262" spans="1:16" ht="18.75" hidden="1" x14ac:dyDescent="0.25">
      <c r="A262" s="532"/>
      <c r="B262" s="430"/>
      <c r="C262" s="430"/>
      <c r="D262" s="430"/>
      <c r="E262" s="669" t="s">
        <v>103</v>
      </c>
      <c r="F262" s="420"/>
      <c r="G262" s="527"/>
      <c r="H262" s="668" t="s">
        <v>33</v>
      </c>
      <c r="I262" s="427"/>
      <c r="J262" s="522">
        <v>0</v>
      </c>
      <c r="K262" s="521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2"/>
      <c r="B263" s="430"/>
      <c r="C263" s="430"/>
      <c r="D263" s="430"/>
      <c r="E263" s="669" t="s">
        <v>104</v>
      </c>
      <c r="F263" s="420"/>
      <c r="G263" s="527"/>
      <c r="H263" s="668" t="s">
        <v>54</v>
      </c>
      <c r="I263" s="427"/>
      <c r="J263" s="522">
        <v>0</v>
      </c>
      <c r="K263" s="521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IFERROR(__xludf.DUMMYFUNCTION("IMPORTRANGE(""https://docs.google.com/spreadsheets/d/1-uDff_7J0KD5mKrp0Vvzr7lt3OU09vwQwhkpOPPYv2Y/edit?usp=sharing"",""งบพรบ!DE39"")"),0)</f>
        <v>0</v>
      </c>
      <c r="M271" s="521">
        <f ca="1">IFERROR(__xludf.DUMMYFUNCTION("IMPORTRANGE(""https://docs.google.com/spreadsheets/d/1-uDff_7J0KD5mKrp0Vvzr7lt3OU09vwQwhkpOPPYv2Y/edit?usp=sharing"",""งบพรบ!DJ39"")"),0)</f>
        <v>0</v>
      </c>
      <c r="N271" s="521">
        <f ca="1">IFERROR(__xludf.DUMMYFUNCTION("IMPORTRANGE(""https://docs.google.com/spreadsheets/d/1-uDff_7J0KD5mKrp0Vvzr7lt3OU09vwQwhkpOPPYv2Y/edit?usp=sharing"",""งบพรบ!DL39"")"),0)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IFERROR(__xludf.DUMMYFUNCTION("IMPORTRANGE(""https://docs.google.com/spreadsheets/d/1-uDff_7J0KD5mKrp0Vvzr7lt3OU09vwQwhkpOPPYv2Y/edit?usp=sharing"",""งบพรบ!DH39"")"),0)</f>
        <v>0</v>
      </c>
      <c r="M274" s="521">
        <f ca="1">IFERROR(__xludf.DUMMYFUNCTION("IMPORTRANGE(""https://docs.google.com/spreadsheets/d/1-uDff_7J0KD5mKrp0Vvzr7lt3OU09vwQwhkpOPPYv2Y/edit?usp=sharing"",""งบพรบ!DK39"")"),0)</f>
        <v>0</v>
      </c>
      <c r="N274" s="521">
        <f ca="1">IFERROR(__xludf.DUMMYFUNCTION("IMPORTRANGE(""https://docs.google.com/spreadsheets/d/1-uDff_7J0KD5mKrp0Vvzr7lt3OU09vwQwhkpOPPYv2Y/edit?usp=sharing"",""งบพรบ!DM39"")"),0)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hidden="1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hidden="1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hidden="1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0</v>
      </c>
      <c r="J280" s="629">
        <f>J293</f>
        <v>0</v>
      </c>
      <c r="K280" s="628">
        <f ca="1">IF(I280&gt;0,J280*100/I280,0)</f>
        <v>0</v>
      </c>
      <c r="L280" s="627"/>
      <c r="M280" s="627"/>
      <c r="N280" s="627"/>
      <c r="O280" s="627"/>
      <c r="P280" s="627"/>
    </row>
    <row r="281" spans="1:16" ht="19.5" hidden="1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0</v>
      </c>
      <c r="J281" s="629">
        <f>J292</f>
        <v>0</v>
      </c>
      <c r="K281" s="628">
        <f ca="1">IF(I281&gt;0,J281*100/I281,0)</f>
        <v>0</v>
      </c>
      <c r="L281" s="627"/>
      <c r="M281" s="627"/>
      <c r="N281" s="627"/>
      <c r="O281" s="627"/>
      <c r="P281" s="627"/>
    </row>
    <row r="282" spans="1:16" ht="19.5" hidden="1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0</v>
      </c>
      <c r="M282" s="577">
        <f ca="1">M283+M284</f>
        <v>0</v>
      </c>
      <c r="N282" s="577">
        <f ca="1">N283+N284</f>
        <v>0</v>
      </c>
      <c r="O282" s="577">
        <f ca="1">IF(L282&gt;0,N282*100/L282,0)</f>
        <v>0</v>
      </c>
      <c r="P282" s="577">
        <f ca="1">IF(M282&gt;0,N282*100/M282,0)</f>
        <v>0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hidden="1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0</v>
      </c>
      <c r="M284" s="425">
        <f ca="1">M287+M290</f>
        <v>0</v>
      </c>
      <c r="N284" s="425">
        <f ca="1">N287+N290</f>
        <v>0</v>
      </c>
      <c r="O284" s="425">
        <f ca="1">IF(L284&gt;0,N284*100/L284,0)</f>
        <v>0</v>
      </c>
      <c r="P284" s="425">
        <f ca="1">IF(M284&gt;0,N284*100/M284,0)</f>
        <v>0</v>
      </c>
    </row>
    <row r="285" spans="1:16" ht="18.75" hidden="1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0</v>
      </c>
      <c r="M285" s="425">
        <f ca="1">M286+M287</f>
        <v>0</v>
      </c>
      <c r="N285" s="425">
        <f ca="1">N286+N287</f>
        <v>0</v>
      </c>
      <c r="O285" s="425">
        <f ca="1">IF(L285&gt;0,N285*100/L285,0)</f>
        <v>0</v>
      </c>
      <c r="P285" s="425">
        <f ca="1">IF(M285&gt;0,N285*100/M285,0)</f>
        <v>0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hidden="1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IFERROR(__xludf.DUMMYFUNCTION("IMPORTRANGE(""https://docs.google.com/spreadsheets/d/1-uDff_7J0KD5mKrp0Vvzr7lt3OU09vwQwhkpOPPYv2Y/edit?usp=sharing"",""งบพรบ!DO39"")"),0)</f>
        <v>0</v>
      </c>
      <c r="M287" s="425">
        <f ca="1">IFERROR(__xludf.DUMMYFUNCTION("IMPORTRANGE(""https://docs.google.com/spreadsheets/d/1-uDff_7J0KD5mKrp0Vvzr7lt3OU09vwQwhkpOPPYv2Y/edit?usp=sharing"",""งบพรบ!DT39"")"),0)</f>
        <v>0</v>
      </c>
      <c r="N287" s="425">
        <f ca="1">IFERROR(__xludf.DUMMYFUNCTION("IMPORTRANGE(""https://docs.google.com/spreadsheets/d/1-uDff_7J0KD5mKrp0Vvzr7lt3OU09vwQwhkpOPPYv2Y/edit?usp=sharing"",""งบพรบ!DV39"")"),0)</f>
        <v>0</v>
      </c>
      <c r="O287" s="425">
        <f ca="1">IF(L287&gt;0,N287*100/L287,0)</f>
        <v>0</v>
      </c>
      <c r="P287" s="425">
        <f ca="1">IF(M287&gt;0,N287*100/M287,0)</f>
        <v>0</v>
      </c>
    </row>
    <row r="288" spans="1:16" ht="18.75" hidden="1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hidden="1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IFERROR(__xludf.DUMMYFUNCTION("IMPORTRANGE(""https://docs.google.com/spreadsheets/d/1-uDff_7J0KD5mKrp0Vvzr7lt3OU09vwQwhkpOPPYv2Y/edit?usp=sharing"",""งบพรบ!DR39"")"),0)</f>
        <v>0</v>
      </c>
      <c r="M290" s="425">
        <f ca="1">IFERROR(__xludf.DUMMYFUNCTION("IMPORTRANGE(""https://docs.google.com/spreadsheets/d/1-uDff_7J0KD5mKrp0Vvzr7lt3OU09vwQwhkpOPPYv2Y/edit?usp=sharing"",""งบพรบ!DU39"")"),0)</f>
        <v>0</v>
      </c>
      <c r="N290" s="425">
        <f ca="1">IFERROR(__xludf.DUMMYFUNCTION("IMPORTRANGE(""https://docs.google.com/spreadsheets/d/1-uDff_7J0KD5mKrp0Vvzr7lt3OU09vwQwhkpOPPYv2Y/edit?usp=sharing"",""งบพรบ!DW39"")"),0)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hidden="1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hidden="1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IFERROR(__xludf.DUMMYFUNCTION("IMPORTRANGE(""https://docs.google.com/spreadsheets/d/1eHaY18a8A9IcSdp1K8H6x8fbOy06t2VsZHhMHf-1x7Y/edit?usp=sharing"",""แผน!EE39"")"),0)</f>
        <v>0</v>
      </c>
      <c r="J292" s="595">
        <v>0</v>
      </c>
      <c r="K292" s="621">
        <f ca="1">IF(I292&gt;0,J292*100/I292,0)</f>
        <v>0</v>
      </c>
      <c r="L292" s="525"/>
      <c r="M292" s="525"/>
      <c r="N292" s="525"/>
      <c r="O292" s="525"/>
      <c r="P292" s="525"/>
    </row>
    <row r="293" spans="1:16" ht="19.5" hidden="1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IFERROR(__xludf.DUMMYFUNCTION("IMPORTRANGE(""https://docs.google.com/spreadsheets/d/1eHaY18a8A9IcSdp1K8H6x8fbOy06t2VsZHhMHf-1x7Y/edit?usp=sharing"",""แผน!ED39"")"),0)</f>
        <v>0</v>
      </c>
      <c r="J293" s="625">
        <f>J296</f>
        <v>0</v>
      </c>
      <c r="K293" s="624">
        <f ca="1">IF(I293&gt;0,J293*100/I293,0)</f>
        <v>0</v>
      </c>
      <c r="L293" s="525"/>
      <c r="M293" s="525"/>
      <c r="N293" s="525"/>
      <c r="O293" s="525"/>
      <c r="P293" s="525"/>
    </row>
    <row r="294" spans="1:16" ht="19.5" hidden="1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hidden="1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IFERROR(__xludf.DUMMYFUNCTION("IMPORTRANGE(""https://docs.google.com/spreadsheets/d/1eHaY18a8A9IcSdp1K8H6x8fbOy06t2VsZHhMHf-1x7Y/edit?usp=sharing"",""แผน!ED39"")"),0)</f>
        <v>0</v>
      </c>
      <c r="J295" s="595">
        <v>0</v>
      </c>
      <c r="K295" s="621">
        <f ca="1">IF(I295&gt;0,J295*100/I295,0)</f>
        <v>0</v>
      </c>
      <c r="L295" s="525"/>
      <c r="M295" s="525"/>
      <c r="N295" s="525"/>
      <c r="O295" s="525"/>
      <c r="P295" s="525"/>
    </row>
    <row r="296" spans="1:16" ht="19.5" hidden="1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IFERROR(__xludf.DUMMYFUNCTION("IMPORTRANGE(""https://docs.google.com/spreadsheets/d/1eHaY18a8A9IcSdp1K8H6x8fbOy06t2VsZHhMHf-1x7Y/edit?usp=sharing"",""แผน!ED39"")"),0)</f>
        <v>0</v>
      </c>
      <c r="J296" s="595">
        <v>0</v>
      </c>
      <c r="K296" s="621">
        <f ca="1">IF(I296&gt;0,J296*100/I296,0)</f>
        <v>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hidden="1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hidden="1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hidden="1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0</v>
      </c>
      <c r="J302" s="598">
        <f>J314</f>
        <v>0</v>
      </c>
      <c r="K302" s="597">
        <f ca="1">IF(I302&gt;0,J302*100/I302,0)</f>
        <v>0</v>
      </c>
      <c r="L302" s="580"/>
      <c r="M302" s="580"/>
      <c r="N302" s="580"/>
      <c r="O302" s="580"/>
      <c r="P302" s="580"/>
    </row>
    <row r="303" spans="1:16" ht="19.5" hidden="1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0</v>
      </c>
      <c r="M303" s="577">
        <f ca="1">M304+M305</f>
        <v>0</v>
      </c>
      <c r="N303" s="577">
        <f ca="1">N304+N305</f>
        <v>0</v>
      </c>
      <c r="O303" s="577">
        <f ca="1">IF(L303&gt;0,N303*100/L303,0)</f>
        <v>0</v>
      </c>
      <c r="P303" s="577">
        <f ca="1">IF(M303&gt;0,N303*100/M303,0)</f>
        <v>0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hidden="1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0</v>
      </c>
      <c r="M305" s="425">
        <f ca="1">M308+M311</f>
        <v>0</v>
      </c>
      <c r="N305" s="425">
        <f ca="1">N308+N311</f>
        <v>0</v>
      </c>
      <c r="O305" s="425">
        <f ca="1">IF(L305&gt;0,N305*100/L305,0)</f>
        <v>0</v>
      </c>
      <c r="P305" s="425">
        <f ca="1">IF(M305&gt;0,N305*100/M305,0)</f>
        <v>0</v>
      </c>
    </row>
    <row r="306" spans="1:16" ht="18.75" hidden="1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0</v>
      </c>
      <c r="M306" s="425">
        <f ca="1">M307+M308</f>
        <v>0</v>
      </c>
      <c r="N306" s="425">
        <f ca="1">N307+N308</f>
        <v>0</v>
      </c>
      <c r="O306" s="425">
        <f ca="1">IF(L306&gt;0,N306*100/L306,0)</f>
        <v>0</v>
      </c>
      <c r="P306" s="425">
        <f ca="1">IF(M306&gt;0,N306*100/M306,0)</f>
        <v>0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hidden="1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IFERROR(__xludf.DUMMYFUNCTION("IMPORTRANGE(""https://docs.google.com/spreadsheets/d/1-uDff_7J0KD5mKrp0Vvzr7lt3OU09vwQwhkpOPPYv2Y/edit?usp=sharing"",""งบพรบ!DY39"")"),0)</f>
        <v>0</v>
      </c>
      <c r="M308" s="425">
        <f ca="1">IFERROR(__xludf.DUMMYFUNCTION("IMPORTRANGE(""https://docs.google.com/spreadsheets/d/1-uDff_7J0KD5mKrp0Vvzr7lt3OU09vwQwhkpOPPYv2Y/edit?usp=sharing"",""งบพรบ!ED39"")"),0)</f>
        <v>0</v>
      </c>
      <c r="N308" s="425">
        <f ca="1">IFERROR(__xludf.DUMMYFUNCTION("IMPORTRANGE(""https://docs.google.com/spreadsheets/d/1-uDff_7J0KD5mKrp0Vvzr7lt3OU09vwQwhkpOPPYv2Y/edit?usp=sharing"",""งบพรบ!EF39"")"),0)</f>
        <v>0</v>
      </c>
      <c r="O308" s="425">
        <f ca="1">IF(L308&gt;0,N308*100/L308,0)</f>
        <v>0</v>
      </c>
      <c r="P308" s="425">
        <f ca="1">IF(M308&gt;0,N308*100/M308,0)</f>
        <v>0</v>
      </c>
    </row>
    <row r="309" spans="1:16" ht="18.75" hidden="1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hidden="1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IFERROR(__xludf.DUMMYFUNCTION("IMPORTRANGE(""https://docs.google.com/spreadsheets/d/1-uDff_7J0KD5mKrp0Vvzr7lt3OU09vwQwhkpOPPYv2Y/edit?usp=sharing"",""งบพรบ!EB39"")"),0)</f>
        <v>0</v>
      </c>
      <c r="M311" s="425">
        <f ca="1">IFERROR(__xludf.DUMMYFUNCTION("IMPORTRANGE(""https://docs.google.com/spreadsheets/d/1-uDff_7J0KD5mKrp0Vvzr7lt3OU09vwQwhkpOPPYv2Y/edit?usp=sharing"",""งบพรบ!EE39"")"),0)</f>
        <v>0</v>
      </c>
      <c r="N311" s="425">
        <f ca="1">IFERROR(__xludf.DUMMYFUNCTION("IMPORTRANGE(""https://docs.google.com/spreadsheets/d/1-uDff_7J0KD5mKrp0Vvzr7lt3OU09vwQwhkpOPPYv2Y/edit?usp=sharing"",""งบพรบ!EG39"")"),0)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hidden="1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hidden="1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0</v>
      </c>
      <c r="K313" s="428"/>
      <c r="L313" s="428"/>
      <c r="M313" s="428"/>
      <c r="N313" s="428"/>
      <c r="O313" s="428"/>
      <c r="P313" s="428"/>
    </row>
    <row r="314" spans="1:16" ht="18.75" hidden="1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IFERROR(__xludf.DUMMYFUNCTION("IMPORTRANGE(""https://docs.google.com/spreadsheets/d/1eHaY18a8A9IcSdp1K8H6x8fbOy06t2VsZHhMHf-1x7Y/edit?usp=sharing"",""แผน!EF39"")"),0)</f>
        <v>0</v>
      </c>
      <c r="J314" s="595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hidden="1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IFERROR(__xludf.DUMMYFUNCTION("IMPORTRANGE(""https://docs.google.com/spreadsheets/d/1eHaY18a8A9IcSdp1K8H6x8fbOy06t2VsZHhMHf-1x7Y/edit?usp=sharing"",""แผน!EG39"")"),0)</f>
        <v>0</v>
      </c>
      <c r="J315" s="595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hidden="1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IFERROR(__xludf.DUMMYFUNCTION("IMPORTRANGE(""https://docs.google.com/spreadsheets/d/1eHaY18a8A9IcSdp1K8H6x8fbOy06t2VsZHhMHf-1x7Y/edit?usp=sharing"",""แผน!EH39"")"),0)</f>
        <v>0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424">
        <f ca="1">IFERROR(__xludf.DUMMYFUNCTION("IMPORTRANGE(""https://docs.google.com/spreadsheets/d/1eHaY18a8A9IcSdp1K8H6x8fbOy06t2VsZHhMHf-1x7Y/edit?usp=sharing"",""แผน!EI39"")"),0)</f>
        <v>0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hidden="1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0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hidden="1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0</v>
      </c>
      <c r="M320" s="577">
        <f ca="1">M321+M322</f>
        <v>0</v>
      </c>
      <c r="N320" s="577">
        <f ca="1">N321+N322</f>
        <v>0</v>
      </c>
      <c r="O320" s="577">
        <f ca="1">IF(L320&gt;0,N320*100/L320,0)</f>
        <v>0</v>
      </c>
      <c r="P320" s="577">
        <f ca="1">IF(M320&gt;0,N320*100/M320,0)</f>
        <v>0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hidden="1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hidden="1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IFERROR(__xludf.DUMMYFUNCTION("IMPORTRANGE(""https://docs.google.com/spreadsheets/d/1-uDff_7J0KD5mKrp0Vvzr7lt3OU09vwQwhkpOPPYv2Y/edit?usp=sharing"",""งบพรบ!EI39"")"),0)</f>
        <v>0</v>
      </c>
      <c r="M325" s="425">
        <f ca="1">IFERROR(__xludf.DUMMYFUNCTION("IMPORTRANGE(""https://docs.google.com/spreadsheets/d/1-uDff_7J0KD5mKrp0Vvzr7lt3OU09vwQwhkpOPPYv2Y/edit?usp=sharing"",""งบพรบ!EN39"")"),0)</f>
        <v>0</v>
      </c>
      <c r="N325" s="425">
        <f ca="1">IFERROR(__xludf.DUMMYFUNCTION("IMPORTRANGE(""https://docs.google.com/spreadsheets/d/1-uDff_7J0KD5mKrp0Vvzr7lt3OU09vwQwhkpOPPYv2Y/edit?usp=sharing"",""งบพรบ!EP39"")"),0)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hidden="1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IFERROR(__xludf.DUMMYFUNCTION("IMPORTRANGE(""https://docs.google.com/spreadsheets/d/1-uDff_7J0KD5mKrp0Vvzr7lt3OU09vwQwhkpOPPYv2Y/edit?usp=sharing"",""งบพรบ!EL39"")"),0)</f>
        <v>0</v>
      </c>
      <c r="M328" s="425">
        <f ca="1">IFERROR(__xludf.DUMMYFUNCTION("IMPORTRANGE(""https://docs.google.com/spreadsheets/d/1-uDff_7J0KD5mKrp0Vvzr7lt3OU09vwQwhkpOPPYv2Y/edit?usp=sharing"",""งบพรบ!EO39"")"),0)</f>
        <v>0</v>
      </c>
      <c r="N328" s="425">
        <f ca="1">IFERROR(__xludf.DUMMYFUNCTION("IMPORTRANGE(""https://docs.google.com/spreadsheets/d/1-uDff_7J0KD5mKrp0Vvzr7lt3OU09vwQwhkpOPPYv2Y/edit?usp=sharing"",""งบพรบ!EQ39"")"),0)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hidden="1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IFERROR(__xludf.DUMMYFUNCTION("IMPORTRANGE(""https://docs.google.com/spreadsheets/d/1eHaY18a8A9IcSdp1K8H6x8fbOy06t2VsZHhMHf-1x7Y/edit?usp=sharing"",""แผน!EJ39"")"),0)</f>
        <v>0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660</v>
      </c>
      <c r="J332" s="402">
        <f ca="1">J344+J347+J348+J349+J353</f>
        <v>2920</v>
      </c>
      <c r="K332" s="403">
        <f ca="1">IF(I332&gt;0,J332*100/I332,0)</f>
        <v>442.42424242424244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103000</v>
      </c>
      <c r="M333" s="577">
        <f ca="1">M334+M335</f>
        <v>83350</v>
      </c>
      <c r="N333" s="577">
        <f ca="1">N334+N335</f>
        <v>34360</v>
      </c>
      <c r="O333" s="577">
        <f ca="1">IF(L333&gt;0,N333*100/L333,0)</f>
        <v>33.359223300970875</v>
      </c>
      <c r="P333" s="577">
        <f ca="1">IF(M333&gt;0,N333*100/M333,0)</f>
        <v>41.223755248950212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103000</v>
      </c>
      <c r="M335" s="425">
        <f ca="1">M338+M341</f>
        <v>83350</v>
      </c>
      <c r="N335" s="425">
        <f ca="1">N338+N341</f>
        <v>34360</v>
      </c>
      <c r="O335" s="425">
        <f ca="1">IF(L335&gt;0,N335*100/L335,0)</f>
        <v>33.359223300970875</v>
      </c>
      <c r="P335" s="425">
        <f ca="1">IF(M335&gt;0,N335*100/M335,0)</f>
        <v>41.223755248950212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103000</v>
      </c>
      <c r="M336" s="425">
        <f ca="1">M337+M338</f>
        <v>83350</v>
      </c>
      <c r="N336" s="425">
        <f ca="1">N337+N338</f>
        <v>34360</v>
      </c>
      <c r="O336" s="425">
        <f ca="1">IF(L336&gt;0,N336*100/L336,0)</f>
        <v>33.359223300970875</v>
      </c>
      <c r="P336" s="425">
        <f ca="1">IF(M336&gt;0,N336*100/M336,0)</f>
        <v>41.223755248950212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IFERROR(__xludf.DUMMYFUNCTION("IMPORTRANGE(""https://docs.google.com/spreadsheets/d/1-uDff_7J0KD5mKrp0Vvzr7lt3OU09vwQwhkpOPPYv2Y/edit?usp=sharing"",""งบพรบ!ES39"")"),103000)</f>
        <v>103000</v>
      </c>
      <c r="M338" s="425">
        <f ca="1">IFERROR(__xludf.DUMMYFUNCTION("IMPORTRANGE(""https://docs.google.com/spreadsheets/d/1-uDff_7J0KD5mKrp0Vvzr7lt3OU09vwQwhkpOPPYv2Y/edit?usp=sharing"",""งบพรบ!EX39"")"),83350)</f>
        <v>83350</v>
      </c>
      <c r="N338" s="425">
        <f ca="1">IFERROR(__xludf.DUMMYFUNCTION("IMPORTRANGE(""https://docs.google.com/spreadsheets/d/1-uDff_7J0KD5mKrp0Vvzr7lt3OU09vwQwhkpOPPYv2Y/edit?usp=sharing"",""งบพรบ!EZ39"")"),34360)</f>
        <v>34360</v>
      </c>
      <c r="O338" s="425">
        <f ca="1">IF(L338&gt;0,N338*100/L338,0)</f>
        <v>33.359223300970875</v>
      </c>
      <c r="P338" s="425">
        <f ca="1">IF(M338&gt;0,N338*100/M338,0)</f>
        <v>41.223755248950212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IFERROR(__xludf.DUMMYFUNCTION("IMPORTRANGE(""https://docs.google.com/spreadsheets/d/1-uDff_7J0KD5mKrp0Vvzr7lt3OU09vwQwhkpOPPYv2Y/edit?usp=sharing"",""งบพรบ!EV39"")"),0)</f>
        <v>0</v>
      </c>
      <c r="M341" s="425">
        <f ca="1">IFERROR(__xludf.DUMMYFUNCTION("IMPORTRANGE(""https://docs.google.com/spreadsheets/d/1-uDff_7J0KD5mKrp0Vvzr7lt3OU09vwQwhkpOPPYv2Y/edit?usp=sharing"",""งบพรบ!EY39"")"),0)</f>
        <v>0</v>
      </c>
      <c r="N341" s="425">
        <f ca="1">IFERROR(__xludf.DUMMYFUNCTION("IMPORTRANGE(""https://docs.google.com/spreadsheets/d/1-uDff_7J0KD5mKrp0Vvzr7lt3OU09vwQwhkpOPPYv2Y/edit?usp=sharing"",""งบพรบ!FA39"")"),0)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283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IFERROR(__xludf.DUMMYFUNCTION("IMPORTRANGE(""https://docs.google.com/spreadsheets/d/1eHaY18a8A9IcSdp1K8H6x8fbOy06t2VsZHhMHf-1x7Y/edit?usp=sharing"",""แผน!EK39"")"),660)</f>
        <v>660</v>
      </c>
      <c r="J344" s="424">
        <f ca="1">IFERROR(__xludf.DUMMYFUNCTION("IMPORTRANGE(""https://docs.google.com/spreadsheets/d/1awYsYK3VOup2i3Pq_Yjnu8DRu_mYwSBnCR2QPthd0rU/edit?usp=sharing"",""ศูนย์ยกเว้นโฉนด!D39"")"),283)</f>
        <v>283</v>
      </c>
      <c r="K344" s="425">
        <f ca="1">IF(I344&gt;0,J344*100/I344,0)</f>
        <v>42.878787878787875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IFERROR(__xludf.DUMMYFUNCTION("IMPORTRANGE(""https://docs.google.com/spreadsheets/d/1eHaY18a8A9IcSdp1K8H6x8fbOy06t2VsZHhMHf-1x7Y/edit?usp=sharing"",""แผน!EL39"")"),3)</f>
        <v>3</v>
      </c>
      <c r="J346" s="424">
        <f ca="1">IFERROR(__xludf.DUMMYFUNCTION("IMPORTRANGE(""https://docs.google.com/spreadsheets/d/1awYsYK3VOup2i3Pq_Yjnu8DRu_mYwSBnCR2QPthd0rU/edit?usp=sharing"",""ศูนย์รวม!E39"")"),6)</f>
        <v>6</v>
      </c>
      <c r="K346" s="425">
        <f ca="1">IF(I346&gt;0,J346*100/I346,0)</f>
        <v>200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IFERROR(__xludf.DUMMYFUNCTION("IMPORTRANGE(""https://docs.google.com/spreadsheets/d/1awYsYK3VOup2i3Pq_Yjnu8DRu_mYwSBnCR2QPthd0rU/edit?usp=sharing"",""ศูนย์ยกเว้นโฉนด!F39"")"),0)</f>
        <v>0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IFERROR(__xludf.DUMMYFUNCTION("IMPORTRANGE(""https://docs.google.com/spreadsheets/d/1awYsYK3VOup2i3Pq_Yjnu8DRu_mYwSBnCR2QPthd0rU/edit?usp=sharing"",""ศูนย์ยกเว้นโฉนด!G39"")"),0)</f>
        <v>0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IFERROR(__xludf.DUMMYFUNCTION("IMPORTRANGE(""https://docs.google.com/spreadsheets/d/1awYsYK3VOup2i3Pq_Yjnu8DRu_mYwSBnCR2QPthd0rU/edit?usp=sharing"",""ศูนย์ยกเว้นโฉนด!H39"")"),0)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2770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IFERROR(__xludf.DUMMYFUNCTION("IMPORTRANGE(""https://docs.google.com/spreadsheets/d/1awYsYK3VOup2i3Pq_Yjnu8DRu_mYwSBnCR2QPthd0rU/edit?usp=sharing"",""โฉนดM3!G39"")"),133)</f>
        <v>133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IFERROR(__xludf.DUMMYFUNCTION("IMPORTRANGE(""https://docs.google.com/spreadsheets/d/1awYsYK3VOup2i3Pq_Yjnu8DRu_mYwSBnCR2QPthd0rU/edit?usp=sharing"",""โฉนดM3!H39"")"),2637)</f>
        <v>2637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192265</v>
      </c>
      <c r="M356" s="577">
        <f ca="1">M357+M358</f>
        <v>151665</v>
      </c>
      <c r="N356" s="577">
        <f ca="1">N357+N358</f>
        <v>31446.67</v>
      </c>
      <c r="O356" s="577">
        <f ca="1">IF(L356&gt;0,N356*100/L356,0)</f>
        <v>16.355899409668947</v>
      </c>
      <c r="P356" s="577">
        <f ca="1">IF(M356&gt;0,N356*100/M356,0)</f>
        <v>20.734295981274521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192265</v>
      </c>
      <c r="M358" s="425">
        <f ca="1">M361+M364</f>
        <v>151665</v>
      </c>
      <c r="N358" s="425">
        <f ca="1">N361+N364</f>
        <v>31446.67</v>
      </c>
      <c r="O358" s="425">
        <f ca="1">IF(L358&gt;0,N358*100/L358,0)</f>
        <v>16.355899409668947</v>
      </c>
      <c r="P358" s="425">
        <f ca="1">IF(M358&gt;0,N358*100/M358,0)</f>
        <v>20.734295981274521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192265</v>
      </c>
      <c r="M359" s="425">
        <f ca="1">M360+M361</f>
        <v>151665</v>
      </c>
      <c r="N359" s="425">
        <f ca="1">N360+N361</f>
        <v>31446.67</v>
      </c>
      <c r="O359" s="425">
        <f ca="1">IF(L359&gt;0,N359*100/L359,0)</f>
        <v>16.355899409668947</v>
      </c>
      <c r="P359" s="425">
        <f ca="1">IF(M359&gt;0,N359*100/M359,0)</f>
        <v>20.734295981274521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IFERROR(__xludf.DUMMYFUNCTION("IMPORTRANGE(""https://docs.google.com/spreadsheets/d/1-uDff_7J0KD5mKrp0Vvzr7lt3OU09vwQwhkpOPPYv2Y/edit?usp=sharing"",""งบพรบ!FC39"")"),192265)</f>
        <v>192265</v>
      </c>
      <c r="M361" s="425">
        <f ca="1">IFERROR(__xludf.DUMMYFUNCTION("IMPORTRANGE(""https://docs.google.com/spreadsheets/d/1-uDff_7J0KD5mKrp0Vvzr7lt3OU09vwQwhkpOPPYv2Y/edit?usp=sharing"",""งบพรบ!FH39"")"),151665)</f>
        <v>151665</v>
      </c>
      <c r="N361" s="425">
        <f ca="1">IFERROR(__xludf.DUMMYFUNCTION("IMPORTRANGE(""https://docs.google.com/spreadsheets/d/1-uDff_7J0KD5mKrp0Vvzr7lt3OU09vwQwhkpOPPYv2Y/edit?usp=sharing"",""งบพรบ!FJ39"")"),31446.67)</f>
        <v>31446.67</v>
      </c>
      <c r="O361" s="425">
        <f ca="1">IF(L361&gt;0,N361*100/L361,0)</f>
        <v>16.355899409668947</v>
      </c>
      <c r="P361" s="425">
        <f ca="1">IF(M361&gt;0,N361*100/M361,0)</f>
        <v>20.734295981274521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IFERROR(__xludf.DUMMYFUNCTION("IMPORTRANGE(""https://docs.google.com/spreadsheets/d/1-uDff_7J0KD5mKrp0Vvzr7lt3OU09vwQwhkpOPPYv2Y/edit?usp=sharing"",""งบพรบ!FF39"")"),0)</f>
        <v>0</v>
      </c>
      <c r="M364" s="425">
        <f ca="1">IFERROR(__xludf.DUMMYFUNCTION("IMPORTRANGE(""https://docs.google.com/spreadsheets/d/1-uDff_7J0KD5mKrp0Vvzr7lt3OU09vwQwhkpOPPYv2Y/edit?usp=sharing"",""งบพรบ!FI39"")"),0)</f>
        <v>0</v>
      </c>
      <c r="N364" s="425">
        <f ca="1">IFERROR(__xludf.DUMMYFUNCTION("IMPORTRANGE(""https://docs.google.com/spreadsheets/d/1-uDff_7J0KD5mKrp0Vvzr7lt3OU09vwQwhkpOPPYv2Y/edit?usp=sharing"",""งบพรบ!FK39"")"),0)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28</v>
      </c>
      <c r="J365" s="438">
        <f ca="1">J371</f>
        <v>153</v>
      </c>
      <c r="K365" s="439">
        <f ca="1">IF(I365&gt;0,J365*100/I365,0)</f>
        <v>546.42857142857144</v>
      </c>
      <c r="L365" s="571"/>
      <c r="M365" s="571"/>
      <c r="N365" s="571"/>
      <c r="O365" s="571"/>
      <c r="P365" s="571"/>
    </row>
    <row r="366" spans="1:16" ht="19.5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IFERROR(__xludf.DUMMYFUNCTION("IMPORTRANGE(""https://docs.google.com/spreadsheets/d/1tdoBKaGub7dwA3U6UFTqxio9LNnvDCQjHKmttSEBsFQ/edit?usp=sharing"",""จัดที่ดิน!AB39"")"),9)</f>
        <v>9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IFERROR(__xludf.DUMMYFUNCTION("IMPORTRANGE(""https://docs.google.com/spreadsheets/d/1eHaY18a8A9IcSdp1K8H6x8fbOy06t2VsZHhMHf-1x7Y/edit?usp=sharing"",""แผน!EW39"")"),155)</f>
        <v>155</v>
      </c>
      <c r="J368" s="565">
        <f ca="1">IFERROR(__xludf.DUMMYFUNCTION("IMPORTRANGE(""https://docs.google.com/spreadsheets/d/1tdoBKaGub7dwA3U6UFTqxio9LNnvDCQjHKmttSEBsFQ/edit?usp=sharing"",""จัดที่ดิน!AC39"")"),50.28)</f>
        <v>50.28</v>
      </c>
      <c r="K368" s="425">
        <f ca="1">IF(I368&gt;0,J368*100/I368,0)</f>
        <v>32.438709677419354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IFERROR(__xludf.DUMMYFUNCTION("IMPORTRANGE(""https://docs.google.com/spreadsheets/d/1eHaY18a8A9IcSdp1K8H6x8fbOy06t2VsZHhMHf-1x7Y/edit?usp=sharing"",""แผน!EX39"")"),28)</f>
        <v>28</v>
      </c>
      <c r="J369" s="424">
        <f ca="1">IFERROR(__xludf.DUMMYFUNCTION("IMPORTRANGE(""https://docs.google.com/spreadsheets/d/1tdoBKaGub7dwA3U6UFTqxio9LNnvDCQjHKmttSEBsFQ/edit?usp=sharing"",""จัดที่ดิน!AD39"")"),222)</f>
        <v>222</v>
      </c>
      <c r="K369" s="425">
        <f ca="1">IF(I369&gt;0,J369*100/I369,0)</f>
        <v>792.85714285714289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IFERROR(__xludf.DUMMYFUNCTION("IMPORTRANGE(""https://docs.google.com/spreadsheets/d/1tdoBKaGub7dwA3U6UFTqxio9LNnvDCQjHKmttSEBsFQ/edit?usp=sharing"",""จัดที่ดิน!AE39"")"),2248.45)</f>
        <v>2248.4499999999998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IFERROR(__xludf.DUMMYFUNCTION("IMPORTRANGE(""https://docs.google.com/spreadsheets/d/1eHaY18a8A9IcSdp1K8H6x8fbOy06t2VsZHhMHf-1x7Y/edit?usp=sharing"",""แผน!EY39"")"),28)</f>
        <v>28</v>
      </c>
      <c r="J371" s="424">
        <f ca="1">IFERROR(__xludf.DUMMYFUNCTION("IMPORTRANGE(""https://docs.google.com/spreadsheets/d/1tdoBKaGub7dwA3U6UFTqxio9LNnvDCQjHKmttSEBsFQ/edit?usp=sharing"",""จัดที่ดิน!AF39"")"),153)</f>
        <v>153</v>
      </c>
      <c r="K371" s="425">
        <f ca="1">IF(I371&gt;0,J371*100/I371,0)</f>
        <v>546.42857142857144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IFERROR(__xludf.DUMMYFUNCTION("IMPORTRANGE(""https://docs.google.com/spreadsheets/d/1tdoBKaGub7dwA3U6UFTqxio9LNnvDCQjHKmttSEBsFQ/edit?usp=sharing"",""จัดที่ดิน!AG39"")"),1517.45)</f>
        <v>1517.45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IFERROR(__xludf.DUMMYFUNCTION("IMPORTRANGE(""https://docs.google.com/spreadsheets/d/1-uDff_7J0KD5mKrp0Vvzr7lt3OU09vwQwhkpOPPYv2Y/edit?usp=sharing"",""งบพรบ!FM39"")"),0)</f>
        <v>0</v>
      </c>
      <c r="M382" s="521">
        <f ca="1">IFERROR(__xludf.DUMMYFUNCTION("IMPORTRANGE(""https://docs.google.com/spreadsheets/d/1-uDff_7J0KD5mKrp0Vvzr7lt3OU09vwQwhkpOPPYv2Y/edit?usp=sharing"",""งบพรบ!FR39"")"),0)</f>
        <v>0</v>
      </c>
      <c r="N382" s="521">
        <f ca="1">IFERROR(__xludf.DUMMYFUNCTION("IMPORTRANGE(""https://docs.google.com/spreadsheets/d/1-uDff_7J0KD5mKrp0Vvzr7lt3OU09vwQwhkpOPPYv2Y/edit?usp=sharing"",""งบพรบ!FT39"")"),0)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IFERROR(__xludf.DUMMYFUNCTION("IMPORTRANGE(""https://docs.google.com/spreadsheets/d/1-uDff_7J0KD5mKrp0Vvzr7lt3OU09vwQwhkpOPPYv2Y/edit?usp=sharing"",""งบพรบ!FP39"")"),0)</f>
        <v>0</v>
      </c>
      <c r="M385" s="521">
        <f ca="1">IFERROR(__xludf.DUMMYFUNCTION("IMPORTRANGE(""https://docs.google.com/spreadsheets/d/1-uDff_7J0KD5mKrp0Vvzr7lt3OU09vwQwhkpOPPYv2Y/edit?usp=sharing"",""งบพรบ!FS39"")"),0)</f>
        <v>0</v>
      </c>
      <c r="N385" s="521">
        <f ca="1">IFERROR(__xludf.DUMMYFUNCTION("IMPORTRANGE(""https://docs.google.com/spreadsheets/d/1-uDff_7J0KD5mKrp0Vvzr7lt3OU09vwQwhkpOPPYv2Y/edit?usp=sharing"",""งบพรบ!FU39"")"),0)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1C320-12CC-427F-BA5F-4FB67C2CABCC}">
  <sheetPr>
    <outlinePr summaryBelow="0" summaryRight="0"/>
    <pageSetUpPr fitToPage="1"/>
  </sheetPr>
  <dimension ref="A1:P391"/>
  <sheetViews>
    <sheetView view="pageBreakPreview" zoomScale="60" zoomScaleNormal="70" workbookViewId="0">
      <pane xSplit="8" ySplit="17" topLeftCell="I18" activePane="bottomRight" state="frozen"/>
      <selection activeCell="H27" sqref="H27"/>
      <selection pane="topRight" activeCell="H27" sqref="H27"/>
      <selection pane="bottomLeft" activeCell="H27" sqref="H27"/>
      <selection pane="bottomRight" activeCell="H27" sqref="H27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869" t="s">
        <v>0</v>
      </c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  <c r="O1" s="869"/>
      <c r="P1" s="869"/>
    </row>
    <row r="2" spans="1:16" ht="19.5" x14ac:dyDescent="0.3">
      <c r="A2" s="869" t="s">
        <v>168</v>
      </c>
      <c r="B2" s="869"/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  <c r="P2" s="869"/>
    </row>
    <row r="3" spans="1:16" ht="19.5" x14ac:dyDescent="0.3">
      <c r="A3" s="869"/>
      <c r="B3" s="869"/>
      <c r="C3" s="869"/>
      <c r="D3" s="869"/>
      <c r="E3" s="869"/>
      <c r="F3" s="869"/>
      <c r="G3" s="869"/>
      <c r="H3" s="869"/>
      <c r="I3" s="869"/>
      <c r="J3" s="869"/>
      <c r="K3" s="869"/>
      <c r="L3" s="869"/>
      <c r="M3" s="869"/>
      <c r="N3" s="869"/>
      <c r="O3" s="869"/>
      <c r="P3" s="869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5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493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1758290</v>
      </c>
      <c r="M18" s="704">
        <f ca="1">M19+M20</f>
        <v>1445228</v>
      </c>
      <c r="N18" s="704">
        <f ca="1">N19+N20</f>
        <v>620326.49</v>
      </c>
      <c r="O18" s="704">
        <f ca="1">IF(L18&gt;0,N18*100/L18,0)</f>
        <v>35.280101120975495</v>
      </c>
      <c r="P18" s="704">
        <f ca="1">IF(M18&gt;0,N18*100/M18,0)</f>
        <v>42.922396327776653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1758290</v>
      </c>
      <c r="M20" s="817">
        <f ca="1">M23+M26</f>
        <v>1445228</v>
      </c>
      <c r="N20" s="817">
        <f ca="1">N23+N26</f>
        <v>620326.49</v>
      </c>
      <c r="O20" s="817">
        <f ca="1">IF(L20&gt;0,N20*100/L20,0)</f>
        <v>35.280101120975495</v>
      </c>
      <c r="P20" s="817">
        <f ca="1">IF(M20&gt;0,N20*100/M20,0)</f>
        <v>42.922396327776653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1758290</v>
      </c>
      <c r="M21" s="425">
        <f ca="1">M22+M23</f>
        <v>1445228</v>
      </c>
      <c r="N21" s="425">
        <f ca="1">N22+N23</f>
        <v>620326.49</v>
      </c>
      <c r="O21" s="425">
        <f ca="1">IF(L21&gt;0,N21*100/L21,0)</f>
        <v>35.280101120975495</v>
      </c>
      <c r="P21" s="425">
        <f ca="1">IF(M21&gt;0,N21*100/M21,0)</f>
        <v>42.922396327776653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1758290</v>
      </c>
      <c r="M23" s="425">
        <f ca="1">M49+M64+M77+M99+M130+M144+M162+M191+M178+M271+M287+M308+M325+M338+M361+M382</f>
        <v>1445228</v>
      </c>
      <c r="N23" s="425">
        <f ca="1">N49+N64+N77+N99+N130+N144+N162+N191+N178+N271+N287+N308+N325+N338+N361+N382</f>
        <v>620326.49</v>
      </c>
      <c r="O23" s="425">
        <f ca="1">IF(L23&gt;0,N23*100/L23,0)</f>
        <v>35.280101120975495</v>
      </c>
      <c r="P23" s="425">
        <f ca="1">IF(M23&gt;0,N23*100/M23,0)</f>
        <v>42.922396327776653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2.75" hidden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1758290</v>
      </c>
      <c r="M40" s="809">
        <f ca="1">M44+M59+M72+M94+M125+M139+M157+M173+M186+M266+M282+M303+M320+M333+M356</f>
        <v>1445228</v>
      </c>
      <c r="N40" s="809">
        <f ca="1">N44+N59+N72+N94+N125+N139+N157+N173+N186+N266+N282+N303+N320+N333+N356</f>
        <v>620326.49</v>
      </c>
      <c r="O40" s="809">
        <f ca="1">IF(L40&gt;0,N40*100/L40,0)</f>
        <v>35.280101120975495</v>
      </c>
      <c r="P40" s="809">
        <f ca="1">IF(M40&gt;0,N40*100/M40,0)</f>
        <v>42.922396327776653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294070</v>
      </c>
      <c r="M44" s="794">
        <f ca="1">M45+M46</f>
        <v>296308</v>
      </c>
      <c r="N44" s="794">
        <f ca="1">N45+N46</f>
        <v>154487</v>
      </c>
      <c r="O44" s="794">
        <f ca="1">IF(L44&gt;0,N44*100/L44,0)</f>
        <v>52.53409052266467</v>
      </c>
      <c r="P44" s="794">
        <f ca="1">IF(M44&gt;0,N44*100/M44,0)</f>
        <v>52.137303076528475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294070</v>
      </c>
      <c r="M46" s="783">
        <f ca="1">M49+M52</f>
        <v>296308</v>
      </c>
      <c r="N46" s="783">
        <f ca="1">N49+N52</f>
        <v>154487</v>
      </c>
      <c r="O46" s="783">
        <f ca="1">IF(L46&gt;0,N46*100/L46,0)</f>
        <v>52.53409052266467</v>
      </c>
      <c r="P46" s="783">
        <f ca="1">IF(M46&gt;0,N46*100/M46,0)</f>
        <v>52.137303076528475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294070</v>
      </c>
      <c r="M47" s="425">
        <f ca="1">M48+M49</f>
        <v>296308</v>
      </c>
      <c r="N47" s="425">
        <f ca="1">N48+N49</f>
        <v>154487</v>
      </c>
      <c r="O47" s="425">
        <f ca="1">IF(L47&gt;0,N47*100/L47,0)</f>
        <v>52.53409052266467</v>
      </c>
      <c r="P47" s="425">
        <f ca="1">IF(M47&gt;0,N47*100/M47,0)</f>
        <v>52.137303076528475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IFERROR(__xludf.DUMMYFUNCTION("IMPORTRANGE(""https://docs.google.com/spreadsheets/d/1-uDff_7J0KD5mKrp0Vvzr7lt3OU09vwQwhkpOPPYv2Y/edit?usp=sharing"",""งบพรบ!P40"")"),294070)</f>
        <v>294070</v>
      </c>
      <c r="M49" s="425">
        <f ca="1">IFERROR(__xludf.DUMMYFUNCTION("IMPORTRANGE(""https://docs.google.com/spreadsheets/d/1-uDff_7J0KD5mKrp0Vvzr7lt3OU09vwQwhkpOPPYv2Y/edit?usp=sharing"",""งบพรบ!V40"")"),296308)</f>
        <v>296308</v>
      </c>
      <c r="N49" s="425">
        <f ca="1">IFERROR(__xludf.DUMMYFUNCTION("IMPORTRANGE(""https://docs.google.com/spreadsheets/d/1-uDff_7J0KD5mKrp0Vvzr7lt3OU09vwQwhkpOPPYv2Y/edit?usp=sharing"",""งบพรบ!Y40"")"),154487)</f>
        <v>154487</v>
      </c>
      <c r="O49" s="425">
        <f ca="1">IF(L49&gt;0,N49*100/L49,0)</f>
        <v>52.53409052266467</v>
      </c>
      <c r="P49" s="425">
        <f ca="1">IF(M49&gt;0,N49*100/M49,0)</f>
        <v>52.137303076528475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IFERROR(__xludf.DUMMYFUNCTION("IMPORTRANGE(""https://docs.google.com/spreadsheets/d/1-uDff_7J0KD5mKrp0Vvzr7lt3OU09vwQwhkpOPPYv2Y/edit?usp=sharing"",""งบพรบ!S40"")"),0)</f>
        <v>0</v>
      </c>
      <c r="M52" s="425">
        <f ca="1">IFERROR(__xludf.DUMMYFUNCTION("IMPORTRANGE(""https://docs.google.com/spreadsheets/d/1-uDff_7J0KD5mKrp0Vvzr7lt3OU09vwQwhkpOPPYv2Y/edit?usp=sharing"",""งบพรบ!W40"")"),0)</f>
        <v>0</v>
      </c>
      <c r="N52" s="425">
        <f ca="1">IFERROR(__xludf.DUMMYFUNCTION("IMPORTRANGE(""https://docs.google.com/spreadsheets/d/1-uDff_7J0KD5mKrp0Vvzr7lt3OU09vwQwhkpOPPYv2Y/edit?usp=sharing"",""งบพรบ!Z40"")"),0)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473100</v>
      </c>
      <c r="M59" s="763">
        <f ca="1">M60+M61</f>
        <v>356950</v>
      </c>
      <c r="N59" s="763">
        <f ca="1">N60+N61</f>
        <v>212563.49</v>
      </c>
      <c r="O59" s="763">
        <f ca="1">IF(L59&gt;0,N59*100/L59,0)</f>
        <v>44.929928133586976</v>
      </c>
      <c r="P59" s="763">
        <f ca="1">IF(M59&gt;0,N59*100/M59,0)</f>
        <v>59.5499341644488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473100</v>
      </c>
      <c r="M61" s="752">
        <f ca="1">M64+M67</f>
        <v>356950</v>
      </c>
      <c r="N61" s="752">
        <f ca="1">N64+N67</f>
        <v>212563.49</v>
      </c>
      <c r="O61" s="752">
        <f ca="1">IF(L61&gt;0,N61*100/L61,0)</f>
        <v>44.929928133586976</v>
      </c>
      <c r="P61" s="752">
        <f ca="1">IF(M61&gt;0,N61*100/M61,0)</f>
        <v>59.5499341644488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473100</v>
      </c>
      <c r="M62" s="425">
        <f ca="1">M63+M64</f>
        <v>356950</v>
      </c>
      <c r="N62" s="425">
        <f ca="1">N63+N64</f>
        <v>212563.49</v>
      </c>
      <c r="O62" s="425">
        <f ca="1">IF(L62&gt;0,N62*100/L62,0)</f>
        <v>44.929928133586976</v>
      </c>
      <c r="P62" s="425">
        <f ca="1">IF(M62&gt;0,N62*100/M62,0)</f>
        <v>59.5499341644488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IFERROR(__xludf.DUMMYFUNCTION("IMPORTRANGE(""https://docs.google.com/spreadsheets/d/1-uDff_7J0KD5mKrp0Vvzr7lt3OU09vwQwhkpOPPYv2Y/edit?usp=sharing"",""งบพรบ!AC40"")"),473100)</f>
        <v>473100</v>
      </c>
      <c r="M64" s="425">
        <f ca="1">IFERROR(__xludf.DUMMYFUNCTION("IMPORTRANGE(""https://docs.google.com/spreadsheets/d/1-uDff_7J0KD5mKrp0Vvzr7lt3OU09vwQwhkpOPPYv2Y/edit?usp=sharing"",""งบพรบ!AH40"")"),356950)</f>
        <v>356950</v>
      </c>
      <c r="N64" s="425">
        <f ca="1">IFERROR(__xludf.DUMMYFUNCTION("IMPORTRANGE(""https://docs.google.com/spreadsheets/d/1-uDff_7J0KD5mKrp0Vvzr7lt3OU09vwQwhkpOPPYv2Y/edit?usp=sharing"",""งบพรบ!AJ40"")"),212563.49)</f>
        <v>212563.49</v>
      </c>
      <c r="O64" s="425">
        <f ca="1">IF(L64&gt;0,N64*100/L64,0)</f>
        <v>44.929928133586976</v>
      </c>
      <c r="P64" s="425">
        <f ca="1">IF(M64&gt;0,N64*100/M64,0)</f>
        <v>59.5499341644488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IFERROR(__xludf.DUMMYFUNCTION("IMPORTRANGE(""https://docs.google.com/spreadsheets/d/1-uDff_7J0KD5mKrp0Vvzr7lt3OU09vwQwhkpOPPYv2Y/edit?usp=sharing"",""งบพรบ!AF40"")"),0)</f>
        <v>0</v>
      </c>
      <c r="M67" s="747">
        <f ca="1">IFERROR(__xludf.DUMMYFUNCTION("IMPORTRANGE(""https://docs.google.com/spreadsheets/d/1-uDff_7J0KD5mKrp0Vvzr7lt3OU09vwQwhkpOPPYv2Y/edit?usp=sharing"",""งบพรบ!AI40"")"),0)</f>
        <v>0</v>
      </c>
      <c r="N67" s="747">
        <f ca="1">IFERROR(__xludf.DUMMYFUNCTION("IMPORTRANGE(""https://docs.google.com/spreadsheets/d/1-uDff_7J0KD5mKrp0Vvzr7lt3OU09vwQwhkpOPPYv2Y/edit?usp=sharing"",""งบพรบ!AK40"")"),0)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19.5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hidden="1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hidden="1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0</v>
      </c>
      <c r="J70" s="705">
        <f>J82</f>
        <v>0</v>
      </c>
      <c r="K70" s="704">
        <f ca="1">IF(I70&gt;0,J70*100/I70,0)</f>
        <v>0</v>
      </c>
      <c r="L70" s="703"/>
      <c r="M70" s="703"/>
      <c r="N70" s="703"/>
      <c r="O70" s="703"/>
      <c r="P70" s="703"/>
    </row>
    <row r="71" spans="1:16" ht="19.5" hidden="1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0</v>
      </c>
      <c r="J71" s="705">
        <f>J83</f>
        <v>0</v>
      </c>
      <c r="K71" s="704">
        <f ca="1">IF(I71&gt;0,J71*100/I71,0)</f>
        <v>0</v>
      </c>
      <c r="L71" s="703"/>
      <c r="M71" s="703"/>
      <c r="N71" s="703"/>
      <c r="O71" s="703"/>
      <c r="P71" s="703"/>
    </row>
    <row r="72" spans="1:16" ht="19.5" hidden="1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0</v>
      </c>
      <c r="M72" s="577">
        <f ca="1">M73+M74</f>
        <v>0</v>
      </c>
      <c r="N72" s="577">
        <f ca="1">N73+N74</f>
        <v>0</v>
      </c>
      <c r="O72" s="577">
        <f ca="1">IF(L72&gt;0,N72*100/L72,0)</f>
        <v>0</v>
      </c>
      <c r="P72" s="577">
        <f ca="1">IF(M72&gt;0,N72*100/M72,0)</f>
        <v>0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hidden="1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hidden="1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IFERROR(__xludf.DUMMYFUNCTION("IMPORTRANGE(""https://docs.google.com/spreadsheets/d/1-uDff_7J0KD5mKrp0Vvzr7lt3OU09vwQwhkpOPPYv2Y/edit?usp=sharing"",""งบพรบ!AM40"")"),0)</f>
        <v>0</v>
      </c>
      <c r="M77" s="425">
        <f ca="1">IFERROR(__xludf.DUMMYFUNCTION("IMPORTRANGE(""https://docs.google.com/spreadsheets/d/1-uDff_7J0KD5mKrp0Vvzr7lt3OU09vwQwhkpOPPYv2Y/edit?usp=sharing"",""งบพรบ!AR40"")"),0)</f>
        <v>0</v>
      </c>
      <c r="N77" s="425">
        <f ca="1">IFERROR(__xludf.DUMMYFUNCTION("IMPORTRANGE(""https://docs.google.com/spreadsheets/d/1-uDff_7J0KD5mKrp0Vvzr7lt3OU09vwQwhkpOPPYv2Y/edit?usp=sharing"",""งบพรบ!AT40"")"),0)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hidden="1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IFERROR(__xludf.DUMMYFUNCTION("IMPORTRANGE(""https://docs.google.com/spreadsheets/d/1-uDff_7J0KD5mKrp0Vvzr7lt3OU09vwQwhkpOPPYv2Y/edit?usp=sharing"",""งบพรบ!AP40"")"),0)</f>
        <v>0</v>
      </c>
      <c r="M80" s="425">
        <f ca="1">IFERROR(__xludf.DUMMYFUNCTION("IMPORTRANGE(""https://docs.google.com/spreadsheets/d/1-uDff_7J0KD5mKrp0Vvzr7lt3OU09vwQwhkpOPPYv2Y/edit?usp=sharing"",""งบพรบ!AS40"")"),0)</f>
        <v>0</v>
      </c>
      <c r="N80" s="425">
        <f ca="1">IFERROR(__xludf.DUMMYFUNCTION("IMPORTRANGE(""https://docs.google.com/spreadsheets/d/1-uDff_7J0KD5mKrp0Vvzr7lt3OU09vwQwhkpOPPYv2Y/edit?usp=sharing"",""งบพรบ!AU40"")"),0)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hidden="1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0</v>
      </c>
      <c r="J82" s="625">
        <f>J84+J86+J88</f>
        <v>0</v>
      </c>
      <c r="K82" s="624">
        <f ca="1">IF(I82&gt;0,J82*100/I82,0)</f>
        <v>0</v>
      </c>
      <c r="L82" s="525"/>
      <c r="M82" s="525"/>
      <c r="N82" s="525"/>
      <c r="O82" s="525"/>
      <c r="P82" s="525"/>
    </row>
    <row r="83" spans="1:16" ht="19.5" hidden="1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0</v>
      </c>
      <c r="J83" s="625">
        <f>J85+J87+J89</f>
        <v>0</v>
      </c>
      <c r="K83" s="624">
        <f ca="1">IF(I83&gt;0,J83*100/I83,0)</f>
        <v>0</v>
      </c>
      <c r="L83" s="525"/>
      <c r="M83" s="525"/>
      <c r="N83" s="525"/>
      <c r="O83" s="525"/>
      <c r="P83" s="525"/>
    </row>
    <row r="84" spans="1:16" ht="18.75" hidden="1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IFERROR(__xludf.DUMMYFUNCTION("IMPORTRANGE(""https://docs.google.com/spreadsheets/d/1eHaY18a8A9IcSdp1K8H6x8fbOy06t2VsZHhMHf-1x7Y/edit?usp=sharing"",""แผน!H40"")"),0)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hidden="1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IFERROR(__xludf.DUMMYFUNCTION("IMPORTRANGE(""https://docs.google.com/spreadsheets/d/1eHaY18a8A9IcSdp1K8H6x8fbOy06t2VsZHhMHf-1x7Y/edit?usp=sharing"",""แผน!I40"")"),0)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hidden="1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IFERROR(__xludf.DUMMYFUNCTION("IMPORTRANGE(""https://docs.google.com/spreadsheets/d/1eHaY18a8A9IcSdp1K8H6x8fbOy06t2VsZHhMHf-1x7Y/edit?usp=sharing"",""แผน!F40"")"),0)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hidden="1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IFERROR(__xludf.DUMMYFUNCTION("IMPORTRANGE(""https://docs.google.com/spreadsheets/d/1eHaY18a8A9IcSdp1K8H6x8fbOy06t2VsZHhMHf-1x7Y/edit?usp=sharing"",""แผน!G40"")"),0)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hidden="1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IFERROR(__xludf.DUMMYFUNCTION("IMPORTRANGE(""https://docs.google.com/spreadsheets/d/1eHaY18a8A9IcSdp1K8H6x8fbOy06t2VsZHhMHf-1x7Y/edit?usp=sharing"",""แผน!D40"")"),0)</f>
        <v>0</v>
      </c>
      <c r="J88" s="595">
        <v>0</v>
      </c>
      <c r="K88" s="621">
        <f ca="1">IF(I88&gt;0,J88*100/I88,0)</f>
        <v>0</v>
      </c>
      <c r="L88" s="525"/>
      <c r="M88" s="525"/>
      <c r="N88" s="525"/>
      <c r="O88" s="525"/>
      <c r="P88" s="525"/>
    </row>
    <row r="89" spans="1:16" ht="18.75" hidden="1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IFERROR(__xludf.DUMMYFUNCTION("IMPORTRANGE(""https://docs.google.com/spreadsheets/d/1eHaY18a8A9IcSdp1K8H6x8fbOy06t2VsZHhMHf-1x7Y/edit?usp=sharing"",""แผน!E40"")"),0)</f>
        <v>0</v>
      </c>
      <c r="J89" s="595">
        <v>0</v>
      </c>
      <c r="K89" s="621">
        <f ca="1">IF(I89&gt;0,J89*100/I89,0)</f>
        <v>0</v>
      </c>
      <c r="L89" s="525"/>
      <c r="M89" s="525"/>
      <c r="N89" s="525"/>
      <c r="O89" s="525"/>
      <c r="P89" s="525"/>
    </row>
    <row r="90" spans="1:16" ht="18.75" hidden="1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IFERROR(__xludf.DUMMYFUNCTION("IMPORTRANGE(""https://docs.google.com/spreadsheets/d/1eHaY18a8A9IcSdp1K8H6x8fbOy06t2VsZHhMHf-1x7Y/edit?usp=sharing"",""แผน!J40"")"),0)</f>
        <v>0</v>
      </c>
      <c r="J90" s="595">
        <v>0</v>
      </c>
      <c r="K90" s="621">
        <f ca="1">IF(I90&gt;0,J90*100/I90,0)</f>
        <v>0</v>
      </c>
      <c r="L90" s="525"/>
      <c r="M90" s="525"/>
      <c r="N90" s="525"/>
      <c r="O90" s="525"/>
      <c r="P90" s="525"/>
    </row>
    <row r="91" spans="1:16" ht="19.5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54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18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157900</v>
      </c>
      <c r="M94" s="577">
        <f ca="1">M95+M96</f>
        <v>133600</v>
      </c>
      <c r="N94" s="577">
        <f ca="1">N95+N96</f>
        <v>26553</v>
      </c>
      <c r="O94" s="577">
        <f ca="1">IF(L94&gt;0,N94*100/L94,0)</f>
        <v>16.816339455351489</v>
      </c>
      <c r="P94" s="577">
        <f ca="1">IF(M94&gt;0,N94*100/M94,0)</f>
        <v>19.875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157900</v>
      </c>
      <c r="M96" s="425">
        <f ca="1">M99+M102</f>
        <v>133600</v>
      </c>
      <c r="N96" s="425">
        <f ca="1">N99+N102</f>
        <v>26553</v>
      </c>
      <c r="O96" s="425">
        <f ca="1">IF(L96&gt;0,N96*100/L96,0)</f>
        <v>16.816339455351489</v>
      </c>
      <c r="P96" s="425">
        <f ca="1">IF(M96&gt;0,N96*100/M96,0)</f>
        <v>19.875</v>
      </c>
    </row>
    <row r="97" spans="1:16" ht="18.75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157900</v>
      </c>
      <c r="M97" s="425">
        <f ca="1">M98+M99</f>
        <v>133600</v>
      </c>
      <c r="N97" s="425">
        <f ca="1">N98+N99</f>
        <v>26553</v>
      </c>
      <c r="O97" s="425">
        <f ca="1">IF(L97&gt;0,N97*100/L97,0)</f>
        <v>16.816339455351489</v>
      </c>
      <c r="P97" s="425">
        <f ca="1">IF(M97&gt;0,N97*100/M97,0)</f>
        <v>19.875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IFERROR(__xludf.DUMMYFUNCTION("IMPORTRANGE(""https://docs.google.com/spreadsheets/d/1-uDff_7J0KD5mKrp0Vvzr7lt3OU09vwQwhkpOPPYv2Y/edit?usp=sharing"",""งบพรบ!AW40"")"),157900)</f>
        <v>157900</v>
      </c>
      <c r="M99" s="425">
        <f ca="1">IFERROR(__xludf.DUMMYFUNCTION("IMPORTRANGE(""https://docs.google.com/spreadsheets/d/1-uDff_7J0KD5mKrp0Vvzr7lt3OU09vwQwhkpOPPYv2Y/edit?usp=sharing"",""งบพรบ!BB40"")"),133600)</f>
        <v>133600</v>
      </c>
      <c r="N99" s="425">
        <f ca="1">IFERROR(__xludf.DUMMYFUNCTION("IMPORTRANGE(""https://docs.google.com/spreadsheets/d/1-uDff_7J0KD5mKrp0Vvzr7lt3OU09vwQwhkpOPPYv2Y/edit?usp=sharing"",""งบพรบ!BD40"")"),26553)</f>
        <v>26553</v>
      </c>
      <c r="O99" s="425">
        <f ca="1">IF(L99&gt;0,N99*100/L99,0)</f>
        <v>16.816339455351489</v>
      </c>
      <c r="P99" s="425">
        <f ca="1">IF(M99&gt;0,N99*100/M99,0)</f>
        <v>19.875</v>
      </c>
    </row>
    <row r="100" spans="1:16" ht="18.75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IFERROR(__xludf.DUMMYFUNCTION("IMPORTRANGE(""https://docs.google.com/spreadsheets/d/1-uDff_7J0KD5mKrp0Vvzr7lt3OU09vwQwhkpOPPYv2Y/edit?usp=sharing"",""งบพรบ!AZ40"")"),0)</f>
        <v>0</v>
      </c>
      <c r="M102" s="425">
        <f ca="1">IFERROR(__xludf.DUMMYFUNCTION("IMPORTRANGE(""https://docs.google.com/spreadsheets/d/1-uDff_7J0KD5mKrp0Vvzr7lt3OU09vwQwhkpOPPYv2Y/edit?usp=sharing"",""งบพรบ!BC40"")"),0)</f>
        <v>0</v>
      </c>
      <c r="N102" s="425">
        <f ca="1">IFERROR(__xludf.DUMMYFUNCTION("IMPORTRANGE(""https://docs.google.com/spreadsheets/d/1-uDff_7J0KD5mKrp0Vvzr7lt3OU09vwQwhkpOPPYv2Y/edit?usp=sharing"",""งบพรบ!BE40"")"),0)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IFERROR(__xludf.DUMMYFUNCTION("IMPORTRANGE(""https://docs.google.com/spreadsheets/d/1eHaY18a8A9IcSdp1K8H6x8fbOy06t2VsZHhMHf-1x7Y/edit?usp=sharing"",""แผน!N40"")"),54)</f>
        <v>54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IFERROR(__xludf.DUMMYFUNCTION("IMPORTRANGE(""https://docs.google.com/spreadsheets/d/1eHaY18a8A9IcSdp1K8H6x8fbOy06t2VsZHhMHf-1x7Y/edit?usp=sharing"",""แผน!O40"")"),18)</f>
        <v>18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IFERROR(__xludf.DUMMYFUNCTION("IMPORTRANGE(""https://docs.google.com/spreadsheets/d/1eHaY18a8A9IcSdp1K8H6x8fbOy06t2VsZHhMHf-1x7Y/edit?usp=sharing"",""แผน!R40"")"),18)</f>
        <v>18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IFERROR(__xludf.DUMMYFUNCTION("IMPORTRANGE(""https://docs.google.com/spreadsheets/d/1-uDff_7J0KD5mKrp0Vvzr7lt3OU09vwQwhkpOPPYv2Y/edit?usp=sharing"",""งบพรบ!BG40"")"),0)</f>
        <v>0</v>
      </c>
      <c r="M130" s="723">
        <f ca="1">IFERROR(__xludf.DUMMYFUNCTION("IMPORTRANGE(""https://docs.google.com/spreadsheets/d/1-uDff_7J0KD5mKrp0Vvzr7lt3OU09vwQwhkpOPPYv2Y/edit?usp=sharing"",""งบพรบ!BL40"")"),0)</f>
        <v>0</v>
      </c>
      <c r="N130" s="723">
        <f ca="1">IFERROR(__xludf.DUMMYFUNCTION("IMPORTRANGE(""https://docs.google.com/spreadsheets/d/1-uDff_7J0KD5mKrp0Vvzr7lt3OU09vwQwhkpOPPYv2Y/edit?usp=sharing"",""งบพรบ!BN40"")"),0)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IFERROR(__xludf.DUMMYFUNCTION("IMPORTRANGE(""https://docs.google.com/spreadsheets/d/1-uDff_7J0KD5mKrp0Vvzr7lt3OU09vwQwhkpOPPYv2Y/edit?usp=sharing"",""งบพรบ!BJ40"")"),0)</f>
        <v>0</v>
      </c>
      <c r="M133" s="723">
        <f ca="1">IFERROR(__xludf.DUMMYFUNCTION("IMPORTRANGE(""https://docs.google.com/spreadsheets/d/1-uDff_7J0KD5mKrp0Vvzr7lt3OU09vwQwhkpOPPYv2Y/edit?usp=sharing"",""งบพรบ!BM40"")"),0)</f>
        <v>0</v>
      </c>
      <c r="N133" s="723">
        <f ca="1">IFERROR(__xludf.DUMMYFUNCTION("IMPORTRANGE(""https://docs.google.com/spreadsheets/d/1-uDff_7J0KD5mKrp0Vvzr7lt3OU09vwQwhkpOPPYv2Y/edit?usp=sharing"",""งบพรบ!BO40"")"),0)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0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20</v>
      </c>
      <c r="J137" s="705">
        <f>J152</f>
        <v>0</v>
      </c>
      <c r="K137" s="704">
        <f ca="1">IF(I137&gt;0,J137*100/I137,0)</f>
        <v>0</v>
      </c>
      <c r="L137" s="703"/>
      <c r="M137" s="703"/>
      <c r="N137" s="703"/>
      <c r="O137" s="703"/>
      <c r="P137" s="703"/>
    </row>
    <row r="138" spans="1:16" ht="19.5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2</v>
      </c>
      <c r="J138" s="705">
        <f>J153</f>
        <v>0</v>
      </c>
      <c r="K138" s="704">
        <f ca="1">IF(I138&gt;0,J138*100/I138,0)</f>
        <v>0</v>
      </c>
      <c r="L138" s="703"/>
      <c r="M138" s="703"/>
      <c r="N138" s="703"/>
      <c r="O138" s="703"/>
      <c r="P138" s="703"/>
    </row>
    <row r="139" spans="1:16" ht="19.5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31600</v>
      </c>
      <c r="M139" s="577">
        <f ca="1">M140+M141</f>
        <v>26600</v>
      </c>
      <c r="N139" s="577">
        <f ca="1">N140+N141</f>
        <v>0</v>
      </c>
      <c r="O139" s="577">
        <f ca="1">IF(L139&gt;0,N139*100/L139,0)</f>
        <v>0</v>
      </c>
      <c r="P139" s="577">
        <f ca="1">IF(M139&gt;0,N139*100/M139,0)</f>
        <v>0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31600</v>
      </c>
      <c r="M141" s="425">
        <f ca="1">M144+M147</f>
        <v>26600</v>
      </c>
      <c r="N141" s="425">
        <f ca="1">N144+N147</f>
        <v>0</v>
      </c>
      <c r="O141" s="425">
        <f ca="1">IF(L141&gt;0,N141*100/L141,0)</f>
        <v>0</v>
      </c>
      <c r="P141" s="425">
        <f ca="1">IF(M141&gt;0,N141*100/M141,0)</f>
        <v>0</v>
      </c>
    </row>
    <row r="142" spans="1:16" ht="18.75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31600</v>
      </c>
      <c r="M142" s="425">
        <f ca="1">M143+M144</f>
        <v>26600</v>
      </c>
      <c r="N142" s="425">
        <f ca="1">N143+N144</f>
        <v>0</v>
      </c>
      <c r="O142" s="425">
        <f ca="1">IF(L142&gt;0,N142*100/L142,0)</f>
        <v>0</v>
      </c>
      <c r="P142" s="425">
        <f ca="1">IF(M142&gt;0,N142*100/M142,0)</f>
        <v>0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IFERROR(__xludf.DUMMYFUNCTION("IMPORTRANGE(""https://docs.google.com/spreadsheets/d/1-uDff_7J0KD5mKrp0Vvzr7lt3OU09vwQwhkpOPPYv2Y/edit?usp=sharing"",""งบพรบ!BQ40"")"),31600)</f>
        <v>31600</v>
      </c>
      <c r="M144" s="425">
        <f ca="1">IFERROR(__xludf.DUMMYFUNCTION("IMPORTRANGE(""https://docs.google.com/spreadsheets/d/1-uDff_7J0KD5mKrp0Vvzr7lt3OU09vwQwhkpOPPYv2Y/edit?usp=sharing"",""งบพรบ!BV40"")"),26600)</f>
        <v>26600</v>
      </c>
      <c r="N144" s="425">
        <f ca="1">IFERROR(__xludf.DUMMYFUNCTION("IMPORTRANGE(""https://docs.google.com/spreadsheets/d/1-uDff_7J0KD5mKrp0Vvzr7lt3OU09vwQwhkpOPPYv2Y/edit?usp=sharing"",""งบพรบ!BX40"")"),0)</f>
        <v>0</v>
      </c>
      <c r="O144" s="425">
        <f ca="1">IF(L144&gt;0,N144*100/L144,0)</f>
        <v>0</v>
      </c>
      <c r="P144" s="425">
        <f ca="1">IF(M144&gt;0,N144*100/M144,0)</f>
        <v>0</v>
      </c>
    </row>
    <row r="145" spans="1:16" ht="18.75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IFERROR(__xludf.DUMMYFUNCTION("IMPORTRANGE(""https://docs.google.com/spreadsheets/d/1-uDff_7J0KD5mKrp0Vvzr7lt3OU09vwQwhkpOPPYv2Y/edit?usp=sharing"",""งบพรบ!BT40"")"),0)</f>
        <v>0</v>
      </c>
      <c r="M147" s="425">
        <f ca="1">IFERROR(__xludf.DUMMYFUNCTION("IMPORTRANGE(""https://docs.google.com/spreadsheets/d/1-uDff_7J0KD5mKrp0Vvzr7lt3OU09vwQwhkpOPPYv2Y/edit?usp=sharing"",""งบพรบ!BW40"")"),0)</f>
        <v>0</v>
      </c>
      <c r="N147" s="425">
        <f ca="1">IFERROR(__xludf.DUMMYFUNCTION("IMPORTRANGE(""https://docs.google.com/spreadsheets/d/1-uDff_7J0KD5mKrp0Vvzr7lt3OU09vwQwhkpOPPYv2Y/edit?usp=sharing"",""งบพรบ!BY40"")"),0)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x14ac:dyDescent="0.3">
      <c r="A150" s="535"/>
      <c r="B150" s="418"/>
      <c r="C150" s="418"/>
      <c r="D150" s="420"/>
      <c r="E150" s="570" t="s">
        <v>159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IFERROR(__xludf.DUMMYFUNCTION("IMPORTRANGE(""https://docs.google.com/spreadsheets/d/1eHaY18a8A9IcSdp1K8H6x8fbOy06t2VsZHhMHf-1x7Y/edit?usp=sharing"",""แผน!U40"")"),0)</f>
        <v>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IFERROR(__xludf.DUMMYFUNCTION("IMPORTRANGE(""https://docs.google.com/spreadsheets/d/1eHaY18a8A9IcSdp1K8H6x8fbOy06t2VsZHhMHf-1x7Y/edit?usp=sharing"",""แผน!V40"")"),0)</f>
        <v>0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x14ac:dyDescent="0.3">
      <c r="A152" s="535"/>
      <c r="B152" s="418"/>
      <c r="C152" s="418"/>
      <c r="D152" s="420"/>
      <c r="E152" s="570" t="s">
        <v>158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IFERROR(__xludf.DUMMYFUNCTION("IMPORTRANGE(""https://docs.google.com/spreadsheets/d/1eHaY18a8A9IcSdp1K8H6x8fbOy06t2VsZHhMHf-1x7Y/edit?usp=sharing"",""แผน!W40"")"),20)</f>
        <v>20</v>
      </c>
      <c r="J152" s="595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IFERROR(__xludf.DUMMYFUNCTION("IMPORTRANGE(""https://docs.google.com/spreadsheets/d/1eHaY18a8A9IcSdp1K8H6x8fbOy06t2VsZHhMHf-1x7Y/edit?usp=sharing"",""แผน!X40"")"),2)</f>
        <v>2</v>
      </c>
      <c r="J153" s="595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IFERROR(__xludf.DUMMYFUNCTION("IMPORTRANGE(""https://docs.google.com/spreadsheets/d/1eHaY18a8A9IcSdp1K8H6x8fbOy06t2VsZHhMHf-1x7Y/edit?usp=sharing"",""แผน!Y40"")"),0)</f>
        <v>0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hidden="1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hidden="1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I169</f>
        <v>0</v>
      </c>
      <c r="J156" s="705">
        <f>J169</f>
        <v>0</v>
      </c>
      <c r="K156" s="704">
        <f ca="1">IF(I156&gt;0,J156*100/I156,0)</f>
        <v>0</v>
      </c>
      <c r="L156" s="703"/>
      <c r="M156" s="703"/>
      <c r="N156" s="703"/>
      <c r="O156" s="703"/>
      <c r="P156" s="703"/>
    </row>
    <row r="157" spans="1:16" ht="19.5" hidden="1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hidden="1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hidden="1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hidden="1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IFERROR(__xludf.DUMMYFUNCTION("IMPORTRANGE(""https://docs.google.com/spreadsheets/d/1-uDff_7J0KD5mKrp0Vvzr7lt3OU09vwQwhkpOPPYv2Y/edit?usp=sharing"",""งบพรบ!CA40"")"),0)</f>
        <v>0</v>
      </c>
      <c r="M162" s="425">
        <f ca="1">IFERROR(__xludf.DUMMYFUNCTION("IMPORTRANGE(""https://docs.google.com/spreadsheets/d/1-uDff_7J0KD5mKrp0Vvzr7lt3OU09vwQwhkpOPPYv2Y/edit?usp=sharing"",""งบพรบ!CF40"")"),0)</f>
        <v>0</v>
      </c>
      <c r="N162" s="425">
        <f ca="1">IFERROR(__xludf.DUMMYFUNCTION("IMPORTRANGE(""https://docs.google.com/spreadsheets/d/1-uDff_7J0KD5mKrp0Vvzr7lt3OU09vwQwhkpOPPYv2Y/edit?usp=sharing"",""งบพรบ!CH40"")"),0)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hidden="1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hidden="1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IFERROR(__xludf.DUMMYFUNCTION("IMPORTRANGE(""https://docs.google.com/spreadsheets/d/1-uDff_7J0KD5mKrp0Vvzr7lt3OU09vwQwhkpOPPYv2Y/edit?usp=sharing"",""งบพรบ!CD40"")"),0)</f>
        <v>0</v>
      </c>
      <c r="M165" s="425">
        <f ca="1">IFERROR(__xludf.DUMMYFUNCTION("IMPORTRANGE(""https://docs.google.com/spreadsheets/d/1-uDff_7J0KD5mKrp0Vvzr7lt3OU09vwQwhkpOPPYv2Y/edit?usp=sharing"",""งบพรบ!CG40"")"),0)</f>
        <v>0</v>
      </c>
      <c r="N165" s="425">
        <f ca="1">IFERROR(__xludf.DUMMYFUNCTION("IMPORTRANGE(""https://docs.google.com/spreadsheets/d/1-uDff_7J0KD5mKrp0Vvzr7lt3OU09vwQwhkpOPPYv2Y/edit?usp=sharing"",""งบพรบ!CI40"")"),0)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hidden="1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hidden="1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IFERROR(__xludf.DUMMYFUNCTION("IMPORTRANGE(""https://docs.google.com/spreadsheets/d/1eHaY18a8A9IcSdp1K8H6x8fbOy06t2VsZHhMHf-1x7Y/edit?usp=sharing"",""แผน!Z40"")"),0)</f>
        <v>0</v>
      </c>
      <c r="J167" s="595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IFERROR(__xludf.DUMMYFUNCTION("IMPORTRANGE(""https://docs.google.com/spreadsheets/d/1eHaY18a8A9IcSdp1K8H6x8fbOy06t2VsZHhMHf-1x7Y/edit?usp=sharing"",""แผน!Z40"")"),0)</f>
        <v>0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IFERROR(__xludf.DUMMYFUNCTION("IMPORTRANGE(""https://docs.google.com/spreadsheets/d/1eHaY18a8A9IcSdp1K8H6x8fbOy06t2VsZHhMHf-1x7Y/edit?usp=sharing"",""แผน!Z40"")"),0)</f>
        <v>0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7</v>
      </c>
      <c r="J172" s="688">
        <f>J183+J184</f>
        <v>0</v>
      </c>
      <c r="K172" s="687">
        <f ca="1">IF(I172&gt;0,J172*100/I172,0)</f>
        <v>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19590</v>
      </c>
      <c r="M173" s="577">
        <f ca="1">M174+M175</f>
        <v>19590</v>
      </c>
      <c r="N173" s="577">
        <f ca="1">N174+N175</f>
        <v>18590</v>
      </c>
      <c r="O173" s="577">
        <f ca="1">IF(L173&gt;0,N173*100/L173,0)</f>
        <v>94.895354772843291</v>
      </c>
      <c r="P173" s="577">
        <f ca="1">IF(M173&gt;0,N173*100/M173,0)</f>
        <v>94.895354772843291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19590</v>
      </c>
      <c r="N175" s="425">
        <f ca="1">N178+N181</f>
        <v>18590</v>
      </c>
      <c r="O175" s="425">
        <f ca="1">IF(L175&gt;0,N175*100/L175,0)</f>
        <v>94.895354772843291</v>
      </c>
      <c r="P175" s="425">
        <f ca="1">IF(M175&gt;0,N175*100/M175,0)</f>
        <v>94.895354772843291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19590</v>
      </c>
      <c r="M176" s="425">
        <f ca="1">M177+M178</f>
        <v>19590</v>
      </c>
      <c r="N176" s="425">
        <f ca="1">N177+N178</f>
        <v>18590</v>
      </c>
      <c r="O176" s="425">
        <f ca="1">IF(L176&gt;0,N176*100/L176,0)</f>
        <v>94.895354772843291</v>
      </c>
      <c r="P176" s="425">
        <f ca="1">IF(M176&gt;0,N176*100/M176,0)</f>
        <v>94.895354772843291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IFERROR(__xludf.DUMMYFUNCTION("IMPORTRANGE(""https://docs.google.com/spreadsheets/d/1-uDff_7J0KD5mKrp0Vvzr7lt3OU09vwQwhkpOPPYv2Y/edit?usp=sharing"",""งบพรบ!CK40"")"),19590)</f>
        <v>19590</v>
      </c>
      <c r="M178" s="425">
        <f ca="1">IFERROR(__xludf.DUMMYFUNCTION("IMPORTRANGE(""https://docs.google.com/spreadsheets/d/1-uDff_7J0KD5mKrp0Vvzr7lt3OU09vwQwhkpOPPYv2Y/edit?usp=sharing"",""งบพรบ!CP40"")"),19590)</f>
        <v>19590</v>
      </c>
      <c r="N178" s="425">
        <f ca="1">IFERROR(__xludf.DUMMYFUNCTION("IMPORTRANGE(""https://docs.google.com/spreadsheets/d/1-uDff_7J0KD5mKrp0Vvzr7lt3OU09vwQwhkpOPPYv2Y/edit?usp=sharing"",""งบพรบ!CR40"")"),18590)</f>
        <v>18590</v>
      </c>
      <c r="O178" s="425">
        <f ca="1">IF(L178&gt;0,N178*100/L178,0)</f>
        <v>94.895354772843291</v>
      </c>
      <c r="P178" s="425">
        <f ca="1">IF(M178&gt;0,N178*100/M178,0)</f>
        <v>94.895354772843291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IFERROR(__xludf.DUMMYFUNCTION("IMPORTRANGE(""https://docs.google.com/spreadsheets/d/1-uDff_7J0KD5mKrp0Vvzr7lt3OU09vwQwhkpOPPYv2Y/edit?usp=sharing"",""งบพรบ!CN40"")"),0)</f>
        <v>0</v>
      </c>
      <c r="M181" s="425">
        <f ca="1">IFERROR(__xludf.DUMMYFUNCTION("IMPORTRANGE(""https://docs.google.com/spreadsheets/d/1-uDff_7J0KD5mKrp0Vvzr7lt3OU09vwQwhkpOPPYv2Y/edit?usp=sharing"",""งบพรบ!CQ40"")"),0)</f>
        <v>0</v>
      </c>
      <c r="N181" s="425">
        <f ca="1">IFERROR(__xludf.DUMMYFUNCTION("IMPORTRANGE(""https://docs.google.com/spreadsheets/d/1-uDff_7J0KD5mKrp0Vvzr7lt3OU09vwQwhkpOPPYv2Y/edit?usp=sharing"",""งบพรบ!CS40"")"),0)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IFERROR(__xludf.DUMMYFUNCTION("IMPORTRANGE(""https://docs.google.com/spreadsheets/d/1eHaY18a8A9IcSdp1K8H6x8fbOy06t2VsZHhMHf-1x7Y/edit?usp=sharing"",""แผน!AA40"")"),7)</f>
        <v>7</v>
      </c>
      <c r="J183" s="595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0</v>
      </c>
      <c r="J185" s="688">
        <f>J230+J231</f>
        <v>0</v>
      </c>
      <c r="K185" s="687">
        <f ca="1">IF(I185&gt;0,J185*100/I185,0)</f>
        <v>0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156500</v>
      </c>
      <c r="M186" s="577">
        <f ca="1">M187+M188</f>
        <v>105500</v>
      </c>
      <c r="N186" s="577">
        <f ca="1">N187+N188</f>
        <v>26000</v>
      </c>
      <c r="O186" s="577">
        <f ca="1">IF(L186&gt;0,N186*100/L186,0)</f>
        <v>16.613418530351439</v>
      </c>
      <c r="P186" s="577">
        <f ca="1">IF(M186&gt;0,N186*100/M186,0)</f>
        <v>24.644549763033176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156500</v>
      </c>
      <c r="M188" s="425">
        <f ca="1">M191+M194</f>
        <v>105500</v>
      </c>
      <c r="N188" s="425">
        <f ca="1">N191+N194</f>
        <v>26000</v>
      </c>
      <c r="O188" s="425">
        <f ca="1">IF(L188&gt;0,N188*100/L188,0)</f>
        <v>16.613418530351439</v>
      </c>
      <c r="P188" s="425">
        <f ca="1">IF(M188&gt;0,N188*100/M188,0)</f>
        <v>24.644549763033176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156500</v>
      </c>
      <c r="M189" s="425">
        <f ca="1">M190+M191</f>
        <v>105500</v>
      </c>
      <c r="N189" s="425">
        <f ca="1">N190+N191</f>
        <v>26000</v>
      </c>
      <c r="O189" s="425">
        <f ca="1">IF(L189&gt;0,N189*100/L189,0)</f>
        <v>16.613418530351439</v>
      </c>
      <c r="P189" s="425">
        <f ca="1">IF(M189&gt;0,N189*100/M189,0)</f>
        <v>24.644549763033176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IFERROR(__xludf.DUMMYFUNCTION("IMPORTRANGE(""https://docs.google.com/spreadsheets/d/1-uDff_7J0KD5mKrp0Vvzr7lt3OU09vwQwhkpOPPYv2Y/edit?usp=sharing"",""งบพรบ!CU40"")"),156500)</f>
        <v>156500</v>
      </c>
      <c r="M191" s="425">
        <f ca="1">IFERROR(__xludf.DUMMYFUNCTION("IMPORTRANGE(""https://docs.google.com/spreadsheets/d/1-uDff_7J0KD5mKrp0Vvzr7lt3OU09vwQwhkpOPPYv2Y/edit?usp=sharing"",""งบพรบ!CZ40"")"),105500)</f>
        <v>105500</v>
      </c>
      <c r="N191" s="425">
        <f ca="1">IFERROR(__xludf.DUMMYFUNCTION("IMPORTRANGE(""https://docs.google.com/spreadsheets/d/1-uDff_7J0KD5mKrp0Vvzr7lt3OU09vwQwhkpOPPYv2Y/edit?usp=sharing"",""งบพรบ!DB40"")"),26000)</f>
        <v>26000</v>
      </c>
      <c r="O191" s="425">
        <f ca="1">IF(L191&gt;0,N191*100/L191,0)</f>
        <v>16.613418530351439</v>
      </c>
      <c r="P191" s="425">
        <f ca="1">IF(M191&gt;0,N191*100/M191,0)</f>
        <v>24.644549763033176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IFERROR(__xludf.DUMMYFUNCTION("IMPORTRANGE(""https://docs.google.com/spreadsheets/d/1-uDff_7J0KD5mKrp0Vvzr7lt3OU09vwQwhkpOPPYv2Y/edit?usp=sharing"",""งบพรบ!CX40"")"),0)</f>
        <v>0</v>
      </c>
      <c r="M194" s="425">
        <f ca="1">IFERROR(__xludf.DUMMYFUNCTION("IMPORTRANGE(""https://docs.google.com/spreadsheets/d/1-uDff_7J0KD5mKrp0Vvzr7lt3OU09vwQwhkpOPPYv2Y/edit?usp=sharing"",""งบพรบ!DA40"")"),0)</f>
        <v>0</v>
      </c>
      <c r="N194" s="425">
        <f ca="1">IFERROR(__xludf.DUMMYFUNCTION("IMPORTRANGE(""https://docs.google.com/spreadsheets/d/1-uDff_7J0KD5mKrp0Vvzr7lt3OU09vwQwhkpOPPYv2Y/edit?usp=sharing"",""งบพรบ!DC40"")"),0)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0</v>
      </c>
      <c r="K195" s="439">
        <f ca="1">IF(I195&gt;0,J195*100/I195,0)</f>
        <v>0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IFERROR(__xludf.DUMMYFUNCTION("IMPORTRANGE(""https://docs.google.com/spreadsheets/d/1eHaY18a8A9IcSdp1K8H6x8fbOy06t2VsZHhMHf-1x7Y/edit?usp=sharing"",""แผน!AB40"")"),6000)</f>
        <v>6000</v>
      </c>
      <c r="M196" s="428"/>
      <c r="N196" s="686">
        <v>0</v>
      </c>
      <c r="O196" s="577">
        <f ca="1">IF(L196&gt;0,N196*100/L196,0)</f>
        <v>0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IFERROR(__xludf.DUMMYFUNCTION("IMPORTRANGE(""https://docs.google.com/spreadsheets/d/1eHaY18a8A9IcSdp1K8H6x8fbOy06t2VsZHhMHf-1x7Y/edit?usp=sharing"",""แผน!AE40"")"),4)</f>
        <v>4</v>
      </c>
      <c r="J198" s="595">
        <v>0</v>
      </c>
      <c r="K198" s="425">
        <f ca="1">IF(I198&gt;0,J198*100/I198,0)</f>
        <v>0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3</v>
      </c>
      <c r="J202" s="438">
        <f>J209</f>
        <v>0</v>
      </c>
      <c r="K202" s="439">
        <f ca="1">IF(I202&gt;0,J202*100/I202,0)</f>
        <v>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39000</v>
      </c>
      <c r="M203" s="428"/>
      <c r="N203" s="577">
        <f>N204+N205+N206+N207</f>
        <v>0</v>
      </c>
      <c r="O203" s="577">
        <f ca="1">IF(L203&gt;0,N203*100/L203,0)</f>
        <v>0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2" t="s">
        <v>157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IFERROR(__xludf.DUMMYFUNCTION("IMPORTRANGE(""https://docs.google.com/spreadsheets/d/1eHaY18a8A9IcSdp1K8H6x8fbOy06t2VsZHhMHf-1x7Y/edit?usp=sharing"",""แผน!AG40"")"),3000)</f>
        <v>3000</v>
      </c>
      <c r="M204" s="428"/>
      <c r="N204" s="683">
        <v>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IFERROR(__xludf.DUMMYFUNCTION("IMPORTRANGE(""https://docs.google.com/spreadsheets/d/1eHaY18a8A9IcSdp1K8H6x8fbOy06t2VsZHhMHf-1x7Y/edit?usp=sharing"",""แผน!AH40"")"),0)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IFERROR(__xludf.DUMMYFUNCTION("IMPORTRANGE(""https://docs.google.com/spreadsheets/d/1eHaY18a8A9IcSdp1K8H6x8fbOy06t2VsZHhMHf-1x7Y/edit?usp=sharing"",""แผน!AI40"")"),24000)</f>
        <v>24000</v>
      </c>
      <c r="M206" s="428"/>
      <c r="N206" s="683">
        <v>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IFERROR(__xludf.DUMMYFUNCTION("IMPORTRANGE(""https://docs.google.com/spreadsheets/d/1eHaY18a8A9IcSdp1K8H6x8fbOy06t2VsZHhMHf-1x7Y/edit?usp=sharing"",""แผน!AJ40"")"),12000)</f>
        <v>12000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IFERROR(__xludf.DUMMYFUNCTION("IMPORTRANGE(""https://docs.google.com/spreadsheets/d/1eHaY18a8A9IcSdp1K8H6x8fbOy06t2VsZHhMHf-1x7Y/edit?usp=sharing"",""แผน!AK40"")"),3)</f>
        <v>3</v>
      </c>
      <c r="J209" s="595">
        <v>0</v>
      </c>
      <c r="K209" s="621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IFERROR(__xludf.DUMMYFUNCTION("IMPORTRANGE(""https://docs.google.com/spreadsheets/d/1eHaY18a8A9IcSdp1K8H6x8fbOy06t2VsZHhMHf-1x7Y/edit?usp=sharing"",""แผน!JX40"")"),3)</f>
        <v>3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IFERROR(__xludf.DUMMYFUNCTION("IMPORTRANGE(""https://docs.google.com/spreadsheets/d/1eHaY18a8A9IcSdp1K8H6x8fbOy06t2VsZHhMHf-1x7Y/edit?usp=sharing"",""แผน!JY40"")"),0)</f>
        <v>0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1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14000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IFERROR(__xludf.DUMMYFUNCTION("IMPORTRANGE(""https://docs.google.com/spreadsheets/d/1eHaY18a8A9IcSdp1K8H6x8fbOy06t2VsZHhMHf-1x7Y/edit?usp=sharing"",""แผน!AM40"")"),1000)</f>
        <v>1000</v>
      </c>
      <c r="M215" s="428"/>
      <c r="N215" s="683">
        <v>0</v>
      </c>
      <c r="O215" s="525"/>
      <c r="P215" s="428"/>
    </row>
    <row r="216" spans="1:16" ht="18.75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IFERROR(__xludf.DUMMYFUNCTION("IMPORTRANGE(""https://docs.google.com/spreadsheets/d/1eHaY18a8A9IcSdp1K8H6x8fbOy06t2VsZHhMHf-1x7Y/edit?usp=sharing"",""แผน!AN40"")"),5000)</f>
        <v>5000</v>
      </c>
      <c r="M216" s="428"/>
      <c r="N216" s="683">
        <v>0</v>
      </c>
      <c r="O216" s="525"/>
      <c r="P216" s="428"/>
    </row>
    <row r="217" spans="1:16" ht="18.75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IFERROR(__xludf.DUMMYFUNCTION("IMPORTRANGE(""https://docs.google.com/spreadsheets/d/1eHaY18a8A9IcSdp1K8H6x8fbOy06t2VsZHhMHf-1x7Y/edit?usp=sharing"",""แผน!AO40"")"),8000)</f>
        <v>8000</v>
      </c>
      <c r="M217" s="428"/>
      <c r="N217" s="683">
        <v>0</v>
      </c>
      <c r="O217" s="525"/>
      <c r="P217" s="428"/>
    </row>
    <row r="218" spans="1:16" ht="19.5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IFERROR(__xludf.DUMMYFUNCTION("IMPORTRANGE(""https://docs.google.com/spreadsheets/d/1eHaY18a8A9IcSdp1K8H6x8fbOy06t2VsZHhMHf-1x7Y/edit?usp=sharing"",""แผน!AP40"")"),1)</f>
        <v>1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IFERROR(__xludf.DUMMYFUNCTION("IMPORTRANGE(""https://docs.google.com/spreadsheets/d/1eHaY18a8A9IcSdp1K8H6x8fbOy06t2VsZHhMHf-1x7Y/edit?usp=sharing"",""แผน!AP40"")"),1)</f>
        <v>1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45000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6500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2" t="s">
        <v>156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IFERROR(__xludf.DUMMYFUNCTION("IMPORTRANGE(""https://docs.google.com/spreadsheets/d/1eHaY18a8A9IcSdp1K8H6x8fbOy06t2VsZHhMHf-1x7Y/edit?usp=sharing"",""แผน!AR40"")"),5000)</f>
        <v>5000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IFERROR(__xludf.DUMMYFUNCTION("IMPORTRANGE(""https://docs.google.com/spreadsheets/d/1eHaY18a8A9IcSdp1K8H6x8fbOy06t2VsZHhMHf-1x7Y/edit?usp=sharing"",""แผน!AS40"")"),1500)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IFERROR(__xludf.DUMMYFUNCTION("IMPORTRANGE(""https://docs.google.com/spreadsheets/d/1eHaY18a8A9IcSdp1K8H6x8fbOy06t2VsZHhMHf-1x7Y/edit?usp=sharing"",""แผน!AT40"")"),0)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IFERROR(__xludf.DUMMYFUNCTION("IMPORTRANGE(""https://docs.google.com/spreadsheets/d/1eHaY18a8A9IcSdp1K8H6x8fbOy06t2VsZHhMHf-1x7Y/edit?usp=sharing"",""แผน!AV40"")"),45000)</f>
        <v>45000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IFERROR(__xludf.DUMMYFUNCTION("IMPORTRANGE(""https://docs.google.com/spreadsheets/d/1eHaY18a8A9IcSdp1K8H6x8fbOy06t2VsZHhMHf-1x7Y/edit?usp=sharing"",""แผน!AV40"")"),45000)</f>
        <v>45000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IFERROR(__xludf.DUMMYFUNCTION("IMPORTRANGE(""https://docs.google.com/spreadsheets/d/1eHaY18a8A9IcSdp1K8H6x8fbOy06t2VsZHhMHf-1x7Y/edit?usp=sharing"",""แผน!AU40"")"),0)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432"/>
      <c r="B231" s="434"/>
      <c r="C231" s="682" t="s">
        <v>99</v>
      </c>
      <c r="D231" s="433"/>
      <c r="E231" s="433"/>
      <c r="F231" s="433"/>
      <c r="G231" s="436"/>
      <c r="H231" s="437" t="s">
        <v>33</v>
      </c>
      <c r="I231" s="438">
        <f ca="1">I242+I253</f>
        <v>0</v>
      </c>
      <c r="J231" s="438">
        <f>J242+J253</f>
        <v>0</v>
      </c>
      <c r="K231" s="439">
        <f ca="1">IF(I231&gt;0,J231*100/I231,0)</f>
        <v>0</v>
      </c>
      <c r="L231" s="571"/>
      <c r="M231" s="571"/>
      <c r="N231" s="571"/>
      <c r="O231" s="571"/>
      <c r="P231" s="571"/>
    </row>
    <row r="232" spans="1:16" ht="19.5" hidden="1" x14ac:dyDescent="0.3">
      <c r="A232" s="535"/>
      <c r="B232" s="418"/>
      <c r="C232" s="570" t="s">
        <v>16</v>
      </c>
      <c r="D232" s="579" t="s">
        <v>17</v>
      </c>
      <c r="E232" s="418"/>
      <c r="F232" s="418"/>
      <c r="G232" s="422"/>
      <c r="H232" s="681" t="s">
        <v>12</v>
      </c>
      <c r="I232" s="526"/>
      <c r="J232" s="526"/>
      <c r="K232" s="525"/>
      <c r="L232" s="577">
        <f ca="1">L243+L254</f>
        <v>0</v>
      </c>
      <c r="M232" s="428"/>
      <c r="N232" s="577">
        <f>N243+N254</f>
        <v>0</v>
      </c>
      <c r="O232" s="428"/>
      <c r="P232" s="428"/>
    </row>
    <row r="233" spans="1:16" ht="18.75" hidden="1" x14ac:dyDescent="0.25">
      <c r="A233" s="535"/>
      <c r="B233" s="419"/>
      <c r="C233" s="418"/>
      <c r="D233" s="293" t="s">
        <v>80</v>
      </c>
      <c r="E233" s="418"/>
      <c r="F233" s="418"/>
      <c r="G233" s="422"/>
      <c r="H233" s="576" t="s">
        <v>12</v>
      </c>
      <c r="I233" s="526"/>
      <c r="J233" s="526"/>
      <c r="K233" s="525"/>
      <c r="L233" s="425">
        <f ca="1">L244+L255</f>
        <v>0</v>
      </c>
      <c r="M233" s="428"/>
      <c r="N233" s="425">
        <f>N244+N255</f>
        <v>0</v>
      </c>
      <c r="O233" s="428"/>
      <c r="P233" s="428"/>
    </row>
    <row r="234" spans="1:16" ht="18.75" hidden="1" x14ac:dyDescent="0.25">
      <c r="A234" s="417"/>
      <c r="B234" s="419"/>
      <c r="C234" s="419"/>
      <c r="D234" s="293" t="s">
        <v>82</v>
      </c>
      <c r="E234" s="418"/>
      <c r="F234" s="418"/>
      <c r="G234" s="422"/>
      <c r="H234" s="576" t="s">
        <v>12</v>
      </c>
      <c r="I234" s="427"/>
      <c r="J234" s="427"/>
      <c r="K234" s="428"/>
      <c r="L234" s="425">
        <f ca="1">L245+L256</f>
        <v>0</v>
      </c>
      <c r="M234" s="428"/>
      <c r="N234" s="425">
        <f>N245+N256</f>
        <v>0</v>
      </c>
      <c r="O234" s="428"/>
      <c r="P234" s="428"/>
    </row>
    <row r="235" spans="1:16" ht="18.75" hidden="1" x14ac:dyDescent="0.25">
      <c r="A235" s="417"/>
      <c r="B235" s="419"/>
      <c r="C235" s="419"/>
      <c r="D235" s="293" t="s">
        <v>100</v>
      </c>
      <c r="E235" s="418"/>
      <c r="F235" s="418"/>
      <c r="G235" s="422"/>
      <c r="H235" s="576" t="s">
        <v>12</v>
      </c>
      <c r="I235" s="427"/>
      <c r="J235" s="427"/>
      <c r="K235" s="428"/>
      <c r="L235" s="425">
        <f ca="1">L246+L257</f>
        <v>0</v>
      </c>
      <c r="M235" s="428"/>
      <c r="N235" s="425">
        <f>N246+N257</f>
        <v>0</v>
      </c>
      <c r="O235" s="428"/>
      <c r="P235" s="428"/>
    </row>
    <row r="236" spans="1:16" ht="18.75" hidden="1" x14ac:dyDescent="0.25">
      <c r="A236" s="417"/>
      <c r="B236" s="419"/>
      <c r="C236" s="419"/>
      <c r="D236" s="293" t="s">
        <v>101</v>
      </c>
      <c r="E236" s="418"/>
      <c r="F236" s="418"/>
      <c r="G236" s="422"/>
      <c r="H236" s="576" t="s">
        <v>12</v>
      </c>
      <c r="I236" s="427"/>
      <c r="J236" s="427"/>
      <c r="K236" s="428"/>
      <c r="L236" s="425">
        <f ca="1">L247+L258</f>
        <v>0</v>
      </c>
      <c r="M236" s="428"/>
      <c r="N236" s="425">
        <f>N247+N258</f>
        <v>0</v>
      </c>
      <c r="O236" s="428"/>
      <c r="P236" s="428"/>
    </row>
    <row r="237" spans="1:16" ht="19.5" hidden="1" x14ac:dyDescent="0.3">
      <c r="A237" s="532"/>
      <c r="B237" s="430"/>
      <c r="C237" s="680" t="s">
        <v>16</v>
      </c>
      <c r="D237" s="569" t="s">
        <v>36</v>
      </c>
      <c r="E237" s="529"/>
      <c r="F237" s="529"/>
      <c r="G237" s="528"/>
      <c r="H237" s="527"/>
      <c r="I237" s="526"/>
      <c r="J237" s="427"/>
      <c r="K237" s="428"/>
      <c r="L237" s="428"/>
      <c r="M237" s="428"/>
      <c r="N237" s="428"/>
      <c r="O237" s="525"/>
      <c r="P237" s="525"/>
    </row>
    <row r="238" spans="1:16" ht="18.75" hidden="1" x14ac:dyDescent="0.25">
      <c r="A238" s="532"/>
      <c r="B238" s="430"/>
      <c r="C238" s="430"/>
      <c r="D238" s="421" t="s">
        <v>102</v>
      </c>
      <c r="E238" s="420"/>
      <c r="F238" s="420"/>
      <c r="G238" s="527"/>
      <c r="H238" s="566" t="s">
        <v>33</v>
      </c>
      <c r="I238" s="424">
        <f ca="1">I249+I260</f>
        <v>0</v>
      </c>
      <c r="J238" s="424">
        <f>J249+J260</f>
        <v>0</v>
      </c>
      <c r="K238" s="425">
        <f ca="1">IF(I238&gt;0,J238*100/I238,0)</f>
        <v>0</v>
      </c>
      <c r="L238" s="428"/>
      <c r="M238" s="428"/>
      <c r="N238" s="428"/>
      <c r="O238" s="428"/>
      <c r="P238" s="428"/>
    </row>
    <row r="239" spans="1:16" ht="18.75" hidden="1" x14ac:dyDescent="0.25">
      <c r="A239" s="532"/>
      <c r="B239" s="430"/>
      <c r="C239" s="430"/>
      <c r="D239" s="679" t="s">
        <v>41</v>
      </c>
      <c r="E239" s="420"/>
      <c r="F239" s="420"/>
      <c r="G239" s="527"/>
      <c r="H239" s="527"/>
      <c r="I239" s="427"/>
      <c r="J239" s="427"/>
      <c r="K239" s="428"/>
      <c r="L239" s="428"/>
      <c r="M239" s="428"/>
      <c r="N239" s="428"/>
      <c r="O239" s="525"/>
      <c r="P239" s="525"/>
    </row>
    <row r="240" spans="1:16" ht="18.75" hidden="1" x14ac:dyDescent="0.25">
      <c r="A240" s="532"/>
      <c r="B240" s="430"/>
      <c r="C240" s="430"/>
      <c r="D240" s="430"/>
      <c r="E240" s="567" t="s">
        <v>103</v>
      </c>
      <c r="F240" s="420"/>
      <c r="G240" s="527"/>
      <c r="H240" s="566" t="s">
        <v>33</v>
      </c>
      <c r="I240" s="424">
        <f>I251+I262</f>
        <v>0</v>
      </c>
      <c r="J240" s="424">
        <f>J251+J262</f>
        <v>0</v>
      </c>
      <c r="K240" s="425">
        <f>IF(I240&gt;0,J240*100/I240,0)</f>
        <v>0</v>
      </c>
      <c r="L240" s="428"/>
      <c r="M240" s="428"/>
      <c r="N240" s="428"/>
      <c r="O240" s="428"/>
      <c r="P240" s="428"/>
    </row>
    <row r="241" spans="1:16" ht="18.75" hidden="1" x14ac:dyDescent="0.25">
      <c r="A241" s="532"/>
      <c r="B241" s="430"/>
      <c r="C241" s="430"/>
      <c r="D241" s="430"/>
      <c r="E241" s="567" t="s">
        <v>104</v>
      </c>
      <c r="F241" s="420"/>
      <c r="G241" s="527"/>
      <c r="H241" s="566" t="s">
        <v>54</v>
      </c>
      <c r="I241" s="424">
        <f>I252+I263</f>
        <v>0</v>
      </c>
      <c r="J241" s="424">
        <f>J252+J263</f>
        <v>0</v>
      </c>
      <c r="K241" s="425">
        <f>IF(I241&gt;0,J241*100/I241,0)</f>
        <v>0</v>
      </c>
      <c r="L241" s="428"/>
      <c r="M241" s="428"/>
      <c r="N241" s="428"/>
      <c r="O241" s="428"/>
      <c r="P241" s="428"/>
    </row>
    <row r="242" spans="1:16" ht="19.5" hidden="1" x14ac:dyDescent="0.3">
      <c r="A242" s="432"/>
      <c r="B242" s="434"/>
      <c r="C242" s="678" t="s">
        <v>105</v>
      </c>
      <c r="D242" s="433"/>
      <c r="E242" s="433"/>
      <c r="F242" s="433"/>
      <c r="G242" s="436"/>
      <c r="H242" s="677" t="s">
        <v>33</v>
      </c>
      <c r="I242" s="676">
        <f ca="1">I249</f>
        <v>0</v>
      </c>
      <c r="J242" s="676">
        <f>J249</f>
        <v>0</v>
      </c>
      <c r="K242" s="675">
        <f ca="1">IF(I242&gt;0,J242*100/I242,0)</f>
        <v>0</v>
      </c>
      <c r="L242" s="571"/>
      <c r="M242" s="571"/>
      <c r="N242" s="571"/>
      <c r="O242" s="571"/>
      <c r="P242" s="571"/>
    </row>
    <row r="243" spans="1:16" ht="19.5" hidden="1" x14ac:dyDescent="0.3">
      <c r="A243" s="535"/>
      <c r="B243" s="418"/>
      <c r="C243" s="531" t="s">
        <v>16</v>
      </c>
      <c r="D243" s="541" t="s">
        <v>17</v>
      </c>
      <c r="E243" s="418"/>
      <c r="F243" s="418"/>
      <c r="G243" s="422"/>
      <c r="H243" s="673" t="s">
        <v>12</v>
      </c>
      <c r="I243" s="526"/>
      <c r="J243" s="526"/>
      <c r="K243" s="525"/>
      <c r="L243" s="539">
        <f ca="1">L244+L245+L246+L247</f>
        <v>0</v>
      </c>
      <c r="M243" s="428"/>
      <c r="N243" s="539">
        <f>N244+N245+N246+N247</f>
        <v>0</v>
      </c>
      <c r="O243" s="539">
        <f ca="1">IF(L243&gt;0,N243*100/L243,0)</f>
        <v>0</v>
      </c>
      <c r="P243" s="539">
        <f>IF(M243&gt;0,N243*100/M243,0)</f>
        <v>0</v>
      </c>
    </row>
    <row r="244" spans="1:16" ht="18.75" hidden="1" x14ac:dyDescent="0.25">
      <c r="A244" s="535"/>
      <c r="B244" s="419"/>
      <c r="C244" s="418"/>
      <c r="D244" s="534" t="s">
        <v>80</v>
      </c>
      <c r="E244" s="418"/>
      <c r="F244" s="418"/>
      <c r="G244" s="422"/>
      <c r="H244" s="536" t="s">
        <v>12</v>
      </c>
      <c r="I244" s="526"/>
      <c r="J244" s="526"/>
      <c r="K244" s="525"/>
      <c r="L244" s="521">
        <f ca="1">IFERROR(__xludf.DUMMYFUNCTION("IMPORTRANGE(""https://docs.google.com/spreadsheets/d/1eHaY18a8A9IcSdp1K8H6x8fbOy06t2VsZHhMHf-1x7Y/edit?usp=sharing"",""แผน!AX40"")"),0)</f>
        <v>0</v>
      </c>
      <c r="M244" s="428"/>
      <c r="N244" s="672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34" t="s">
        <v>82</v>
      </c>
      <c r="E245" s="418"/>
      <c r="F245" s="418"/>
      <c r="G245" s="422"/>
      <c r="H245" s="536" t="s">
        <v>12</v>
      </c>
      <c r="I245" s="427"/>
      <c r="J245" s="427"/>
      <c r="K245" s="428"/>
      <c r="L245" s="521">
        <f ca="1">IFERROR(__xludf.DUMMYFUNCTION("IMPORTRANGE(""https://docs.google.com/spreadsheets/d/1eHaY18a8A9IcSdp1K8H6x8fbOy06t2VsZHhMHf-1x7Y/edit?usp=sharing"",""แผน!AY40"")"),0)</f>
        <v>0</v>
      </c>
      <c r="M245" s="428"/>
      <c r="N245" s="672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34" t="s">
        <v>100</v>
      </c>
      <c r="E246" s="418"/>
      <c r="F246" s="418"/>
      <c r="G246" s="422"/>
      <c r="H246" s="536" t="s">
        <v>12</v>
      </c>
      <c r="I246" s="427"/>
      <c r="J246" s="427"/>
      <c r="K246" s="428"/>
      <c r="L246" s="521">
        <f ca="1">IFERROR(__xludf.DUMMYFUNCTION("IMPORTRANGE(""https://docs.google.com/spreadsheets/d/1eHaY18a8A9IcSdp1K8H6x8fbOy06t2VsZHhMHf-1x7Y/edit?usp=sharing"",""แผน!AZ40"")"),0)</f>
        <v>0</v>
      </c>
      <c r="M246" s="428"/>
      <c r="N246" s="672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34" t="s">
        <v>101</v>
      </c>
      <c r="E247" s="418"/>
      <c r="F247" s="418"/>
      <c r="G247" s="422"/>
      <c r="H247" s="536" t="s">
        <v>12</v>
      </c>
      <c r="I247" s="427"/>
      <c r="J247" s="427"/>
      <c r="K247" s="428"/>
      <c r="L247" s="521">
        <f ca="1">IFERROR(__xludf.DUMMYFUNCTION("IMPORTRANGE(""https://docs.google.com/spreadsheets/d/1eHaY18a8A9IcSdp1K8H6x8fbOy06t2VsZHhMHf-1x7Y/edit?usp=sharing"",""แผน!BA40"")"),0)</f>
        <v>0</v>
      </c>
      <c r="M247" s="428"/>
      <c r="N247" s="672">
        <v>0</v>
      </c>
      <c r="O247" s="428"/>
      <c r="P247" s="428"/>
    </row>
    <row r="248" spans="1:16" ht="19.5" hidden="1" x14ac:dyDescent="0.3">
      <c r="A248" s="532"/>
      <c r="B248" s="430"/>
      <c r="C248" s="671" t="s">
        <v>16</v>
      </c>
      <c r="D248" s="530" t="s">
        <v>36</v>
      </c>
      <c r="E248" s="529"/>
      <c r="F248" s="529"/>
      <c r="G248" s="528"/>
      <c r="H248" s="527"/>
      <c r="I248" s="526"/>
      <c r="J248" s="427"/>
      <c r="K248" s="428"/>
      <c r="L248" s="428"/>
      <c r="M248" s="428"/>
      <c r="N248" s="428"/>
      <c r="O248" s="525"/>
      <c r="P248" s="525"/>
    </row>
    <row r="249" spans="1:16" ht="18.75" hidden="1" x14ac:dyDescent="0.25">
      <c r="A249" s="532"/>
      <c r="B249" s="430"/>
      <c r="C249" s="430"/>
      <c r="D249" s="524" t="s">
        <v>102</v>
      </c>
      <c r="E249" s="420"/>
      <c r="F249" s="420"/>
      <c r="G249" s="527"/>
      <c r="H249" s="668" t="s">
        <v>33</v>
      </c>
      <c r="I249" s="199">
        <f ca="1">IFERROR(__xludf.DUMMYFUNCTION("IMPORTRANGE(""https://docs.google.com/spreadsheets/d/1eHaY18a8A9IcSdp1K8H6x8fbOy06t2VsZHhMHf-1x7Y/edit?usp=sharing"",""แผน!BG40"")"),0)</f>
        <v>0</v>
      </c>
      <c r="J249" s="522">
        <v>0</v>
      </c>
      <c r="K249" s="521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2"/>
      <c r="B250" s="430"/>
      <c r="C250" s="430"/>
      <c r="D250" s="670" t="s">
        <v>41</v>
      </c>
      <c r="E250" s="420"/>
      <c r="F250" s="420"/>
      <c r="G250" s="527"/>
      <c r="H250" s="527"/>
      <c r="I250" s="427"/>
      <c r="J250" s="427"/>
      <c r="K250" s="428"/>
      <c r="L250" s="428"/>
      <c r="M250" s="428"/>
      <c r="N250" s="428"/>
      <c r="O250" s="525"/>
      <c r="P250" s="525"/>
    </row>
    <row r="251" spans="1:16" ht="18.75" hidden="1" x14ac:dyDescent="0.25">
      <c r="A251" s="532"/>
      <c r="B251" s="430"/>
      <c r="C251" s="430"/>
      <c r="D251" s="430"/>
      <c r="E251" s="669" t="s">
        <v>103</v>
      </c>
      <c r="F251" s="420"/>
      <c r="G251" s="527"/>
      <c r="H251" s="668" t="s">
        <v>33</v>
      </c>
      <c r="I251" s="199">
        <v>0</v>
      </c>
      <c r="J251" s="522">
        <v>0</v>
      </c>
      <c r="K251" s="521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2"/>
      <c r="B252" s="430"/>
      <c r="C252" s="430"/>
      <c r="D252" s="430"/>
      <c r="E252" s="669" t="s">
        <v>104</v>
      </c>
      <c r="F252" s="420"/>
      <c r="G252" s="527"/>
      <c r="H252" s="668" t="s">
        <v>54</v>
      </c>
      <c r="I252" s="199">
        <v>0</v>
      </c>
      <c r="J252" s="522">
        <v>0</v>
      </c>
      <c r="K252" s="521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78" t="s">
        <v>106</v>
      </c>
      <c r="D253" s="433"/>
      <c r="E253" s="433"/>
      <c r="F253" s="433"/>
      <c r="G253" s="436"/>
      <c r="H253" s="677" t="s">
        <v>33</v>
      </c>
      <c r="I253" s="676">
        <f ca="1">I260</f>
        <v>0</v>
      </c>
      <c r="J253" s="676">
        <f>J260</f>
        <v>0</v>
      </c>
      <c r="K253" s="675">
        <f ca="1">IF(I253&gt;0,J253*100/I253,0)</f>
        <v>0</v>
      </c>
      <c r="L253" s="571"/>
      <c r="M253" s="571"/>
      <c r="N253" s="571"/>
      <c r="O253" s="571"/>
      <c r="P253" s="571"/>
    </row>
    <row r="254" spans="1:16" ht="19.5" hidden="1" x14ac:dyDescent="0.3">
      <c r="A254" s="535"/>
      <c r="B254" s="418"/>
      <c r="C254" s="531" t="s">
        <v>16</v>
      </c>
      <c r="D254" s="674" t="s">
        <v>17</v>
      </c>
      <c r="E254" s="418"/>
      <c r="F254" s="418"/>
      <c r="G254" s="422"/>
      <c r="H254" s="673" t="s">
        <v>12</v>
      </c>
      <c r="I254" s="526"/>
      <c r="J254" s="526"/>
      <c r="K254" s="525"/>
      <c r="L254" s="539">
        <f ca="1">L255+L256+L257+L258</f>
        <v>0</v>
      </c>
      <c r="M254" s="428"/>
      <c r="N254" s="539">
        <f>N255+N256+N257+N258</f>
        <v>0</v>
      </c>
      <c r="O254" s="539">
        <f ca="1">IF(L254&gt;0,N254*100/L254,0)</f>
        <v>0</v>
      </c>
      <c r="P254" s="539">
        <f>IF(M254&gt;0,N254*100/M254,0)</f>
        <v>0</v>
      </c>
    </row>
    <row r="255" spans="1:16" ht="18.75" hidden="1" x14ac:dyDescent="0.25">
      <c r="A255" s="535"/>
      <c r="B255" s="419"/>
      <c r="C255" s="418"/>
      <c r="D255" s="534" t="s">
        <v>80</v>
      </c>
      <c r="E255" s="418"/>
      <c r="F255" s="418"/>
      <c r="G255" s="422"/>
      <c r="H255" s="536" t="s">
        <v>12</v>
      </c>
      <c r="I255" s="526"/>
      <c r="J255" s="526"/>
      <c r="K255" s="525"/>
      <c r="L255" s="521">
        <f ca="1">IFERROR(__xludf.DUMMYFUNCTION("IMPORTRANGE(""https://docs.google.com/spreadsheets/d/1eHaY18a8A9IcSdp1K8H6x8fbOy06t2VsZHhMHf-1x7Y/edit?usp=sharing"",""แผน!BB40"")"),0)</f>
        <v>0</v>
      </c>
      <c r="M255" s="428"/>
      <c r="N255" s="672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34" t="s">
        <v>82</v>
      </c>
      <c r="E256" s="418"/>
      <c r="F256" s="418"/>
      <c r="G256" s="422"/>
      <c r="H256" s="536" t="s">
        <v>12</v>
      </c>
      <c r="I256" s="427"/>
      <c r="J256" s="427"/>
      <c r="K256" s="428"/>
      <c r="L256" s="521">
        <f ca="1">IFERROR(__xludf.DUMMYFUNCTION("IMPORTRANGE(""https://docs.google.com/spreadsheets/d/1eHaY18a8A9IcSdp1K8H6x8fbOy06t2VsZHhMHf-1x7Y/edit?usp=sharing"",""แผน!BC40"")"),0)</f>
        <v>0</v>
      </c>
      <c r="M256" s="428"/>
      <c r="N256" s="672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34" t="s">
        <v>100</v>
      </c>
      <c r="E257" s="418"/>
      <c r="F257" s="418"/>
      <c r="G257" s="422"/>
      <c r="H257" s="536" t="s">
        <v>12</v>
      </c>
      <c r="I257" s="427"/>
      <c r="J257" s="427"/>
      <c r="K257" s="428"/>
      <c r="L257" s="521">
        <f ca="1">IFERROR(__xludf.DUMMYFUNCTION("IMPORTRANGE(""https://docs.google.com/spreadsheets/d/1eHaY18a8A9IcSdp1K8H6x8fbOy06t2VsZHhMHf-1x7Y/edit?usp=sharing"",""แผน!BD40"")"),0)</f>
        <v>0</v>
      </c>
      <c r="M257" s="428"/>
      <c r="N257" s="672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34" t="s">
        <v>101</v>
      </c>
      <c r="E258" s="418"/>
      <c r="F258" s="418"/>
      <c r="G258" s="422"/>
      <c r="H258" s="536" t="s">
        <v>12</v>
      </c>
      <c r="I258" s="427"/>
      <c r="J258" s="427"/>
      <c r="K258" s="428"/>
      <c r="L258" s="521">
        <f ca="1">IFERROR(__xludf.DUMMYFUNCTION("IMPORTRANGE(""https://docs.google.com/spreadsheets/d/1eHaY18a8A9IcSdp1K8H6x8fbOy06t2VsZHhMHf-1x7Y/edit?usp=sharing"",""แผน!BE40"")"),0)</f>
        <v>0</v>
      </c>
      <c r="M258" s="428"/>
      <c r="N258" s="672">
        <v>0</v>
      </c>
      <c r="O258" s="428"/>
      <c r="P258" s="428"/>
    </row>
    <row r="259" spans="1:16" ht="19.5" hidden="1" x14ac:dyDescent="0.3">
      <c r="A259" s="532"/>
      <c r="B259" s="430"/>
      <c r="C259" s="671" t="s">
        <v>16</v>
      </c>
      <c r="D259" s="530" t="s">
        <v>36</v>
      </c>
      <c r="E259" s="529"/>
      <c r="F259" s="529"/>
      <c r="G259" s="528"/>
      <c r="H259" s="527"/>
      <c r="I259" s="526"/>
      <c r="J259" s="427"/>
      <c r="K259" s="428"/>
      <c r="L259" s="428"/>
      <c r="M259" s="428"/>
      <c r="N259" s="428"/>
      <c r="O259" s="525"/>
      <c r="P259" s="525"/>
    </row>
    <row r="260" spans="1:16" ht="18.75" hidden="1" x14ac:dyDescent="0.25">
      <c r="A260" s="532"/>
      <c r="B260" s="430"/>
      <c r="C260" s="430"/>
      <c r="D260" s="524" t="s">
        <v>102</v>
      </c>
      <c r="E260" s="420"/>
      <c r="F260" s="420"/>
      <c r="G260" s="527"/>
      <c r="H260" s="668" t="s">
        <v>33</v>
      </c>
      <c r="I260" s="199">
        <f ca="1">IFERROR(__xludf.DUMMYFUNCTION("IMPORTRANGE(""https://docs.google.com/spreadsheets/d/1eHaY18a8A9IcSdp1K8H6x8fbOy06t2VsZHhMHf-1x7Y/edit?usp=sharing"",""แผน!BH40"")"),0)</f>
        <v>0</v>
      </c>
      <c r="J260" s="522">
        <v>0</v>
      </c>
      <c r="K260" s="521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2"/>
      <c r="B261" s="430"/>
      <c r="C261" s="430"/>
      <c r="D261" s="670" t="s">
        <v>41</v>
      </c>
      <c r="E261" s="420"/>
      <c r="F261" s="420"/>
      <c r="G261" s="527"/>
      <c r="H261" s="527"/>
      <c r="I261" s="427"/>
      <c r="J261" s="427"/>
      <c r="K261" s="428"/>
      <c r="L261" s="428"/>
      <c r="M261" s="428"/>
      <c r="N261" s="428"/>
      <c r="O261" s="525"/>
      <c r="P261" s="525"/>
    </row>
    <row r="262" spans="1:16" ht="18.75" hidden="1" x14ac:dyDescent="0.25">
      <c r="A262" s="532"/>
      <c r="B262" s="430"/>
      <c r="C262" s="430"/>
      <c r="D262" s="430"/>
      <c r="E262" s="669" t="s">
        <v>103</v>
      </c>
      <c r="F262" s="420"/>
      <c r="G262" s="527"/>
      <c r="H262" s="668" t="s">
        <v>33</v>
      </c>
      <c r="I262" s="427"/>
      <c r="J262" s="522">
        <v>0</v>
      </c>
      <c r="K262" s="521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2"/>
      <c r="B263" s="430"/>
      <c r="C263" s="430"/>
      <c r="D263" s="430"/>
      <c r="E263" s="669" t="s">
        <v>104</v>
      </c>
      <c r="F263" s="420"/>
      <c r="G263" s="527"/>
      <c r="H263" s="668" t="s">
        <v>54</v>
      </c>
      <c r="I263" s="427"/>
      <c r="J263" s="522">
        <v>0</v>
      </c>
      <c r="K263" s="521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IFERROR(__xludf.DUMMYFUNCTION("IMPORTRANGE(""https://docs.google.com/spreadsheets/d/1-uDff_7J0KD5mKrp0Vvzr7lt3OU09vwQwhkpOPPYv2Y/edit?usp=sharing"",""งบพรบ!DE40"")"),0)</f>
        <v>0</v>
      </c>
      <c r="M271" s="521">
        <f ca="1">IFERROR(__xludf.DUMMYFUNCTION("IMPORTRANGE(""https://docs.google.com/spreadsheets/d/1-uDff_7J0KD5mKrp0Vvzr7lt3OU09vwQwhkpOPPYv2Y/edit?usp=sharing"",""งบพรบ!DJ40"")"),0)</f>
        <v>0</v>
      </c>
      <c r="N271" s="521">
        <f ca="1">IFERROR(__xludf.DUMMYFUNCTION("IMPORTRANGE(""https://docs.google.com/spreadsheets/d/1-uDff_7J0KD5mKrp0Vvzr7lt3OU09vwQwhkpOPPYv2Y/edit?usp=sharing"",""งบพรบ!DL40"")"),0)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IFERROR(__xludf.DUMMYFUNCTION("IMPORTRANGE(""https://docs.google.com/spreadsheets/d/1-uDff_7J0KD5mKrp0Vvzr7lt3OU09vwQwhkpOPPYv2Y/edit?usp=sharing"",""งบพรบ!DH40"")"),0)</f>
        <v>0</v>
      </c>
      <c r="M274" s="521">
        <f ca="1">IFERROR(__xludf.DUMMYFUNCTION("IMPORTRANGE(""https://docs.google.com/spreadsheets/d/1-uDff_7J0KD5mKrp0Vvzr7lt3OU09vwQwhkpOPPYv2Y/edit?usp=sharing"",""งบพรบ!DK40"")"),0)</f>
        <v>0</v>
      </c>
      <c r="N274" s="521">
        <f ca="1">IFERROR(__xludf.DUMMYFUNCTION("IMPORTRANGE(""https://docs.google.com/spreadsheets/d/1-uDff_7J0KD5mKrp0Vvzr7lt3OU09vwQwhkpOPPYv2Y/edit?usp=sharing"",""งบพรบ!DM40"")"),0)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hidden="1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hidden="1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hidden="1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0</v>
      </c>
      <c r="J280" s="629">
        <f>J293</f>
        <v>0</v>
      </c>
      <c r="K280" s="628">
        <f ca="1">IF(I280&gt;0,J280*100/I280,0)</f>
        <v>0</v>
      </c>
      <c r="L280" s="627"/>
      <c r="M280" s="627"/>
      <c r="N280" s="627"/>
      <c r="O280" s="627"/>
      <c r="P280" s="627"/>
    </row>
    <row r="281" spans="1:16" ht="19.5" hidden="1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0</v>
      </c>
      <c r="J281" s="629">
        <f>J292</f>
        <v>0</v>
      </c>
      <c r="K281" s="628">
        <f ca="1">IF(I281&gt;0,J281*100/I281,0)</f>
        <v>0</v>
      </c>
      <c r="L281" s="627"/>
      <c r="M281" s="627"/>
      <c r="N281" s="627"/>
      <c r="O281" s="627"/>
      <c r="P281" s="627"/>
    </row>
    <row r="282" spans="1:16" ht="19.5" hidden="1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0</v>
      </c>
      <c r="M282" s="577">
        <f ca="1">M283+M284</f>
        <v>0</v>
      </c>
      <c r="N282" s="577">
        <f ca="1">N283+N284</f>
        <v>0</v>
      </c>
      <c r="O282" s="577">
        <f ca="1">IF(L282&gt;0,N282*100/L282,0)</f>
        <v>0</v>
      </c>
      <c r="P282" s="577">
        <f ca="1">IF(M282&gt;0,N282*100/M282,0)</f>
        <v>0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hidden="1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0</v>
      </c>
      <c r="M284" s="425">
        <f ca="1">M287+M290</f>
        <v>0</v>
      </c>
      <c r="N284" s="425">
        <f ca="1">N287+N290</f>
        <v>0</v>
      </c>
      <c r="O284" s="425">
        <f ca="1">IF(L284&gt;0,N284*100/L284,0)</f>
        <v>0</v>
      </c>
      <c r="P284" s="425">
        <f ca="1">IF(M284&gt;0,N284*100/M284,0)</f>
        <v>0</v>
      </c>
    </row>
    <row r="285" spans="1:16" ht="18.75" hidden="1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0</v>
      </c>
      <c r="M285" s="425">
        <f ca="1">M286+M287</f>
        <v>0</v>
      </c>
      <c r="N285" s="425">
        <f ca="1">N286+N287</f>
        <v>0</v>
      </c>
      <c r="O285" s="425">
        <f ca="1">IF(L285&gt;0,N285*100/L285,0)</f>
        <v>0</v>
      </c>
      <c r="P285" s="425">
        <f ca="1">IF(M285&gt;0,N285*100/M285,0)</f>
        <v>0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hidden="1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IFERROR(__xludf.DUMMYFUNCTION("IMPORTRANGE(""https://docs.google.com/spreadsheets/d/1-uDff_7J0KD5mKrp0Vvzr7lt3OU09vwQwhkpOPPYv2Y/edit?usp=sharing"",""งบพรบ!DO40"")"),0)</f>
        <v>0</v>
      </c>
      <c r="M287" s="425">
        <f ca="1">IFERROR(__xludf.DUMMYFUNCTION("IMPORTRANGE(""https://docs.google.com/spreadsheets/d/1-uDff_7J0KD5mKrp0Vvzr7lt3OU09vwQwhkpOPPYv2Y/edit?usp=sharing"",""งบพรบ!DT40"")"),0)</f>
        <v>0</v>
      </c>
      <c r="N287" s="425">
        <f ca="1">IFERROR(__xludf.DUMMYFUNCTION("IMPORTRANGE(""https://docs.google.com/spreadsheets/d/1-uDff_7J0KD5mKrp0Vvzr7lt3OU09vwQwhkpOPPYv2Y/edit?usp=sharing"",""งบพรบ!DV40"")"),0)</f>
        <v>0</v>
      </c>
      <c r="O287" s="425">
        <f ca="1">IF(L287&gt;0,N287*100/L287,0)</f>
        <v>0</v>
      </c>
      <c r="P287" s="425">
        <f ca="1">IF(M287&gt;0,N287*100/M287,0)</f>
        <v>0</v>
      </c>
    </row>
    <row r="288" spans="1:16" ht="18.75" hidden="1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hidden="1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IFERROR(__xludf.DUMMYFUNCTION("IMPORTRANGE(""https://docs.google.com/spreadsheets/d/1-uDff_7J0KD5mKrp0Vvzr7lt3OU09vwQwhkpOPPYv2Y/edit?usp=sharing"",""งบพรบ!DR40"")"),0)</f>
        <v>0</v>
      </c>
      <c r="M290" s="425">
        <f ca="1">IFERROR(__xludf.DUMMYFUNCTION("IMPORTRANGE(""https://docs.google.com/spreadsheets/d/1-uDff_7J0KD5mKrp0Vvzr7lt3OU09vwQwhkpOPPYv2Y/edit?usp=sharing"",""งบพรบ!DU40"")"),0)</f>
        <v>0</v>
      </c>
      <c r="N290" s="425">
        <f ca="1">IFERROR(__xludf.DUMMYFUNCTION("IMPORTRANGE(""https://docs.google.com/spreadsheets/d/1-uDff_7J0KD5mKrp0Vvzr7lt3OU09vwQwhkpOPPYv2Y/edit?usp=sharing"",""งบพรบ!DW40"")"),0)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hidden="1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hidden="1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IFERROR(__xludf.DUMMYFUNCTION("IMPORTRANGE(""https://docs.google.com/spreadsheets/d/1eHaY18a8A9IcSdp1K8H6x8fbOy06t2VsZHhMHf-1x7Y/edit?usp=sharing"",""แผน!EE40"")"),0)</f>
        <v>0</v>
      </c>
      <c r="J292" s="595">
        <v>0</v>
      </c>
      <c r="K292" s="621">
        <f ca="1">IF(I292&gt;0,J292*100/I292,0)</f>
        <v>0</v>
      </c>
      <c r="L292" s="525"/>
      <c r="M292" s="525"/>
      <c r="N292" s="525"/>
      <c r="O292" s="525"/>
      <c r="P292" s="525"/>
    </row>
    <row r="293" spans="1:16" ht="19.5" hidden="1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IFERROR(__xludf.DUMMYFUNCTION("IMPORTRANGE(""https://docs.google.com/spreadsheets/d/1eHaY18a8A9IcSdp1K8H6x8fbOy06t2VsZHhMHf-1x7Y/edit?usp=sharing"",""แผน!ED40"")"),0)</f>
        <v>0</v>
      </c>
      <c r="J293" s="625">
        <f>J296</f>
        <v>0</v>
      </c>
      <c r="K293" s="624">
        <f ca="1">IF(I293&gt;0,J293*100/I293,0)</f>
        <v>0</v>
      </c>
      <c r="L293" s="525"/>
      <c r="M293" s="525"/>
      <c r="N293" s="525"/>
      <c r="O293" s="525"/>
      <c r="P293" s="525"/>
    </row>
    <row r="294" spans="1:16" ht="19.5" hidden="1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hidden="1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IFERROR(__xludf.DUMMYFUNCTION("IMPORTRANGE(""https://docs.google.com/spreadsheets/d/1eHaY18a8A9IcSdp1K8H6x8fbOy06t2VsZHhMHf-1x7Y/edit?usp=sharing"",""แผน!ED40"")"),0)</f>
        <v>0</v>
      </c>
      <c r="J295" s="595">
        <v>0</v>
      </c>
      <c r="K295" s="621">
        <f ca="1">IF(I295&gt;0,J295*100/I295,0)</f>
        <v>0</v>
      </c>
      <c r="L295" s="525"/>
      <c r="M295" s="525"/>
      <c r="N295" s="525"/>
      <c r="O295" s="525"/>
      <c r="P295" s="525"/>
    </row>
    <row r="296" spans="1:16" ht="19.5" hidden="1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IFERROR(__xludf.DUMMYFUNCTION("IMPORTRANGE(""https://docs.google.com/spreadsheets/d/1eHaY18a8A9IcSdp1K8H6x8fbOy06t2VsZHhMHf-1x7Y/edit?usp=sharing"",""แผน!ED40"")"),0)</f>
        <v>0</v>
      </c>
      <c r="J296" s="595">
        <v>0</v>
      </c>
      <c r="K296" s="621">
        <f ca="1">IF(I296&gt;0,J296*100/I296,0)</f>
        <v>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20</v>
      </c>
      <c r="J302" s="598">
        <f>J314</f>
        <v>0</v>
      </c>
      <c r="K302" s="597">
        <f ca="1">IF(I302&gt;0,J302*100/I302,0)</f>
        <v>0</v>
      </c>
      <c r="L302" s="580"/>
      <c r="M302" s="580"/>
      <c r="N302" s="580"/>
      <c r="O302" s="580"/>
      <c r="P302" s="580"/>
    </row>
    <row r="303" spans="1:16" ht="19.5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133500</v>
      </c>
      <c r="M303" s="577">
        <f ca="1">M304+M305</f>
        <v>100900</v>
      </c>
      <c r="N303" s="577">
        <f ca="1">N304+N305</f>
        <v>29840</v>
      </c>
      <c r="O303" s="577">
        <f ca="1">IF(L303&gt;0,N303*100/L303,0)</f>
        <v>22.352059925093634</v>
      </c>
      <c r="P303" s="577">
        <f ca="1">IF(M303&gt;0,N303*100/M303,0)</f>
        <v>29.573835480673935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133500</v>
      </c>
      <c r="M305" s="425">
        <f ca="1">M308+M311</f>
        <v>100900</v>
      </c>
      <c r="N305" s="425">
        <f ca="1">N308+N311</f>
        <v>29840</v>
      </c>
      <c r="O305" s="425">
        <f ca="1">IF(L305&gt;0,N305*100/L305,0)</f>
        <v>22.352059925093634</v>
      </c>
      <c r="P305" s="425">
        <f ca="1">IF(M305&gt;0,N305*100/M305,0)</f>
        <v>29.573835480673935</v>
      </c>
    </row>
    <row r="306" spans="1:16" ht="18.75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133500</v>
      </c>
      <c r="M306" s="425">
        <f ca="1">M307+M308</f>
        <v>100900</v>
      </c>
      <c r="N306" s="425">
        <f ca="1">N307+N308</f>
        <v>29840</v>
      </c>
      <c r="O306" s="425">
        <f ca="1">IF(L306&gt;0,N306*100/L306,0)</f>
        <v>22.352059925093634</v>
      </c>
      <c r="P306" s="425">
        <f ca="1">IF(M306&gt;0,N306*100/M306,0)</f>
        <v>29.573835480673935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IFERROR(__xludf.DUMMYFUNCTION("IMPORTRANGE(""https://docs.google.com/spreadsheets/d/1-uDff_7J0KD5mKrp0Vvzr7lt3OU09vwQwhkpOPPYv2Y/edit?usp=sharing"",""งบพรบ!DY40"")"),133500)</f>
        <v>133500</v>
      </c>
      <c r="M308" s="425">
        <f ca="1">IFERROR(__xludf.DUMMYFUNCTION("IMPORTRANGE(""https://docs.google.com/spreadsheets/d/1-uDff_7J0KD5mKrp0Vvzr7lt3OU09vwQwhkpOPPYv2Y/edit?usp=sharing"",""งบพรบ!ED40"")"),100900)</f>
        <v>100900</v>
      </c>
      <c r="N308" s="425">
        <f ca="1">IFERROR(__xludf.DUMMYFUNCTION("IMPORTRANGE(""https://docs.google.com/spreadsheets/d/1-uDff_7J0KD5mKrp0Vvzr7lt3OU09vwQwhkpOPPYv2Y/edit?usp=sharing"",""งบพรบ!EF40"")"),29840)</f>
        <v>29840</v>
      </c>
      <c r="O308" s="425">
        <f ca="1">IF(L308&gt;0,N308*100/L308,0)</f>
        <v>22.352059925093634</v>
      </c>
      <c r="P308" s="425">
        <f ca="1">IF(M308&gt;0,N308*100/M308,0)</f>
        <v>29.573835480673935</v>
      </c>
    </row>
    <row r="309" spans="1:16" ht="18.75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IFERROR(__xludf.DUMMYFUNCTION("IMPORTRANGE(""https://docs.google.com/spreadsheets/d/1-uDff_7J0KD5mKrp0Vvzr7lt3OU09vwQwhkpOPPYv2Y/edit?usp=sharing"",""งบพรบ!EB40"")"),0)</f>
        <v>0</v>
      </c>
      <c r="M311" s="425">
        <f ca="1">IFERROR(__xludf.DUMMYFUNCTION("IMPORTRANGE(""https://docs.google.com/spreadsheets/d/1-uDff_7J0KD5mKrp0Vvzr7lt3OU09vwQwhkpOPPYv2Y/edit?usp=sharing"",""งบพรบ!EE40"")"),0)</f>
        <v>0</v>
      </c>
      <c r="N311" s="425">
        <f ca="1">IFERROR(__xludf.DUMMYFUNCTION("IMPORTRANGE(""https://docs.google.com/spreadsheets/d/1-uDff_7J0KD5mKrp0Vvzr7lt3OU09vwQwhkpOPPYv2Y/edit?usp=sharing"",""งบพรบ!EG40"")"),0)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0</v>
      </c>
      <c r="K313" s="428"/>
      <c r="L313" s="428"/>
      <c r="M313" s="428"/>
      <c r="N313" s="428"/>
      <c r="O313" s="428"/>
      <c r="P313" s="428"/>
    </row>
    <row r="314" spans="1:16" ht="18.75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IFERROR(__xludf.DUMMYFUNCTION("IMPORTRANGE(""https://docs.google.com/spreadsheets/d/1eHaY18a8A9IcSdp1K8H6x8fbOy06t2VsZHhMHf-1x7Y/edit?usp=sharing"",""แผน!EF40"")"),20)</f>
        <v>20</v>
      </c>
      <c r="J314" s="595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IFERROR(__xludf.DUMMYFUNCTION("IMPORTRANGE(""https://docs.google.com/spreadsheets/d/1eHaY18a8A9IcSdp1K8H6x8fbOy06t2VsZHhMHf-1x7Y/edit?usp=sharing"",""แผน!EG40"")"),4)</f>
        <v>4</v>
      </c>
      <c r="J315" s="595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IFERROR(__xludf.DUMMYFUNCTION("IMPORTRANGE(""https://docs.google.com/spreadsheets/d/1eHaY18a8A9IcSdp1K8H6x8fbOy06t2VsZHhMHf-1x7Y/edit?usp=sharing"",""แผน!EH40"")"),20)</f>
        <v>20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424">
        <f ca="1">IFERROR(__xludf.DUMMYFUNCTION("IMPORTRANGE(""https://docs.google.com/spreadsheets/d/1eHaY18a8A9IcSdp1K8H6x8fbOy06t2VsZHhMHf-1x7Y/edit?usp=sharing"",""แผน!EI40"")"),4)</f>
        <v>4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hidden="1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0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hidden="1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0</v>
      </c>
      <c r="M320" s="577">
        <f ca="1">M321+M322</f>
        <v>0</v>
      </c>
      <c r="N320" s="577">
        <f ca="1">N321+N322</f>
        <v>0</v>
      </c>
      <c r="O320" s="577">
        <f ca="1">IF(L320&gt;0,N320*100/L320,0)</f>
        <v>0</v>
      </c>
      <c r="P320" s="577">
        <f ca="1">IF(M320&gt;0,N320*100/M320,0)</f>
        <v>0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hidden="1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hidden="1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IFERROR(__xludf.DUMMYFUNCTION("IMPORTRANGE(""https://docs.google.com/spreadsheets/d/1-uDff_7J0KD5mKrp0Vvzr7lt3OU09vwQwhkpOPPYv2Y/edit?usp=sharing"",""งบพรบ!EI40"")"),0)</f>
        <v>0</v>
      </c>
      <c r="M325" s="425">
        <f ca="1">IFERROR(__xludf.DUMMYFUNCTION("IMPORTRANGE(""https://docs.google.com/spreadsheets/d/1-uDff_7J0KD5mKrp0Vvzr7lt3OU09vwQwhkpOPPYv2Y/edit?usp=sharing"",""งบพรบ!EN40"")"),0)</f>
        <v>0</v>
      </c>
      <c r="N325" s="425">
        <f ca="1">IFERROR(__xludf.DUMMYFUNCTION("IMPORTRANGE(""https://docs.google.com/spreadsheets/d/1-uDff_7J0KD5mKrp0Vvzr7lt3OU09vwQwhkpOPPYv2Y/edit?usp=sharing"",""งบพรบ!EP40"")"),0)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hidden="1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IFERROR(__xludf.DUMMYFUNCTION("IMPORTRANGE(""https://docs.google.com/spreadsheets/d/1-uDff_7J0KD5mKrp0Vvzr7lt3OU09vwQwhkpOPPYv2Y/edit?usp=sharing"",""งบพรบ!EL40"")"),0)</f>
        <v>0</v>
      </c>
      <c r="M328" s="425">
        <f ca="1">IFERROR(__xludf.DUMMYFUNCTION("IMPORTRANGE(""https://docs.google.com/spreadsheets/d/1-uDff_7J0KD5mKrp0Vvzr7lt3OU09vwQwhkpOPPYv2Y/edit?usp=sharing"",""งบพรบ!EO40"")"),0)</f>
        <v>0</v>
      </c>
      <c r="N328" s="425">
        <f ca="1">IFERROR(__xludf.DUMMYFUNCTION("IMPORTRANGE(""https://docs.google.com/spreadsheets/d/1-uDff_7J0KD5mKrp0Vvzr7lt3OU09vwQwhkpOPPYv2Y/edit?usp=sharing"",""งบพรบ!EQ40"")"),0)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hidden="1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IFERROR(__xludf.DUMMYFUNCTION("IMPORTRANGE(""https://docs.google.com/spreadsheets/d/1eHaY18a8A9IcSdp1K8H6x8fbOy06t2VsZHhMHf-1x7Y/edit?usp=sharing"",""แผน!EJ40"")"),0)</f>
        <v>0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1540</v>
      </c>
      <c r="J332" s="402">
        <f ca="1">J344+J347+J348+J349+J353</f>
        <v>2030</v>
      </c>
      <c r="K332" s="403">
        <f ca="1">IF(I332&gt;0,J332*100/I332,0)</f>
        <v>131.81818181818181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108000</v>
      </c>
      <c r="M333" s="577">
        <f ca="1">M334+M335</f>
        <v>85750</v>
      </c>
      <c r="N333" s="577">
        <f ca="1">N334+N335</f>
        <v>18080</v>
      </c>
      <c r="O333" s="577">
        <f ca="1">IF(L333&gt;0,N333*100/L333,0)</f>
        <v>16.74074074074074</v>
      </c>
      <c r="P333" s="577">
        <f ca="1">IF(M333&gt;0,N333*100/M333,0)</f>
        <v>21.084548104956269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108000</v>
      </c>
      <c r="M335" s="425">
        <f ca="1">M338+M341</f>
        <v>85750</v>
      </c>
      <c r="N335" s="425">
        <f ca="1">N338+N341</f>
        <v>18080</v>
      </c>
      <c r="O335" s="425">
        <f ca="1">IF(L335&gt;0,N335*100/L335,0)</f>
        <v>16.74074074074074</v>
      </c>
      <c r="P335" s="425">
        <f ca="1">IF(M335&gt;0,N335*100/M335,0)</f>
        <v>21.084548104956269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108000</v>
      </c>
      <c r="M336" s="425">
        <f ca="1">M337+M338</f>
        <v>85750</v>
      </c>
      <c r="N336" s="425">
        <f ca="1">N337+N338</f>
        <v>18080</v>
      </c>
      <c r="O336" s="425">
        <f ca="1">IF(L336&gt;0,N336*100/L336,0)</f>
        <v>16.74074074074074</v>
      </c>
      <c r="P336" s="425">
        <f ca="1">IF(M336&gt;0,N336*100/M336,0)</f>
        <v>21.084548104956269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IFERROR(__xludf.DUMMYFUNCTION("IMPORTRANGE(""https://docs.google.com/spreadsheets/d/1-uDff_7J0KD5mKrp0Vvzr7lt3OU09vwQwhkpOPPYv2Y/edit?usp=sharing"",""งบพรบ!ES40"")"),108000)</f>
        <v>108000</v>
      </c>
      <c r="M338" s="425">
        <f ca="1">IFERROR(__xludf.DUMMYFUNCTION("IMPORTRANGE(""https://docs.google.com/spreadsheets/d/1-uDff_7J0KD5mKrp0Vvzr7lt3OU09vwQwhkpOPPYv2Y/edit?usp=sharing"",""งบพรบ!EX40"")"),85750)</f>
        <v>85750</v>
      </c>
      <c r="N338" s="425">
        <f ca="1">IFERROR(__xludf.DUMMYFUNCTION("IMPORTRANGE(""https://docs.google.com/spreadsheets/d/1-uDff_7J0KD5mKrp0Vvzr7lt3OU09vwQwhkpOPPYv2Y/edit?usp=sharing"",""งบพรบ!EZ40"")"),18080)</f>
        <v>18080</v>
      </c>
      <c r="O338" s="425">
        <f ca="1">IF(L338&gt;0,N338*100/L338,0)</f>
        <v>16.74074074074074</v>
      </c>
      <c r="P338" s="425">
        <f ca="1">IF(M338&gt;0,N338*100/M338,0)</f>
        <v>21.084548104956269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IFERROR(__xludf.DUMMYFUNCTION("IMPORTRANGE(""https://docs.google.com/spreadsheets/d/1-uDff_7J0KD5mKrp0Vvzr7lt3OU09vwQwhkpOPPYv2Y/edit?usp=sharing"",""งบพรบ!EV40"")"),0)</f>
        <v>0</v>
      </c>
      <c r="M341" s="425">
        <f ca="1">IFERROR(__xludf.DUMMYFUNCTION("IMPORTRANGE(""https://docs.google.com/spreadsheets/d/1-uDff_7J0KD5mKrp0Vvzr7lt3OU09vwQwhkpOPPYv2Y/edit?usp=sharing"",""งบพรบ!EY40"")"),0)</f>
        <v>0</v>
      </c>
      <c r="N341" s="425">
        <f ca="1">IFERROR(__xludf.DUMMYFUNCTION("IMPORTRANGE(""https://docs.google.com/spreadsheets/d/1-uDff_7J0KD5mKrp0Vvzr7lt3OU09vwQwhkpOPPYv2Y/edit?usp=sharing"",""งบพรบ!FA40"")"),0)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123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IFERROR(__xludf.DUMMYFUNCTION("IMPORTRANGE(""https://docs.google.com/spreadsheets/d/1eHaY18a8A9IcSdp1K8H6x8fbOy06t2VsZHhMHf-1x7Y/edit?usp=sharing"",""แผน!EK40"")"),1540)</f>
        <v>1540</v>
      </c>
      <c r="J344" s="424">
        <f ca="1">IFERROR(__xludf.DUMMYFUNCTION("IMPORTRANGE(""https://docs.google.com/spreadsheets/d/1awYsYK3VOup2i3Pq_Yjnu8DRu_mYwSBnCR2QPthd0rU/edit?usp=sharing"",""ศูนย์ยกเว้นโฉนด!D40"")"),116)</f>
        <v>116</v>
      </c>
      <c r="K344" s="425">
        <f ca="1">IF(I344&gt;0,J344*100/I344,0)</f>
        <v>7.5324675324675328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IFERROR(__xludf.DUMMYFUNCTION("IMPORTRANGE(""https://docs.google.com/spreadsheets/d/1eHaY18a8A9IcSdp1K8H6x8fbOy06t2VsZHhMHf-1x7Y/edit?usp=sharing"",""แผน!EL40"")"),4)</f>
        <v>4</v>
      </c>
      <c r="J346" s="424">
        <f ca="1">IFERROR(__xludf.DUMMYFUNCTION("IMPORTRANGE(""https://docs.google.com/spreadsheets/d/1awYsYK3VOup2i3Pq_Yjnu8DRu_mYwSBnCR2QPthd0rU/edit?usp=sharing"",""ศูนย์รวม!E40"")"),2)</f>
        <v>2</v>
      </c>
      <c r="K346" s="425">
        <f ca="1">IF(I346&gt;0,J346*100/I346,0)</f>
        <v>50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IFERROR(__xludf.DUMMYFUNCTION("IMPORTRANGE(""https://docs.google.com/spreadsheets/d/1awYsYK3VOup2i3Pq_Yjnu8DRu_mYwSBnCR2QPthd0rU/edit?usp=sharing"",""ศูนย์ยกเว้นโฉนด!F40"")"),0)</f>
        <v>0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IFERROR(__xludf.DUMMYFUNCTION("IMPORTRANGE(""https://docs.google.com/spreadsheets/d/1awYsYK3VOup2i3Pq_Yjnu8DRu_mYwSBnCR2QPthd0rU/edit?usp=sharing"",""ศูนย์ยกเว้นโฉนด!G40"")"),7)</f>
        <v>7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IFERROR(__xludf.DUMMYFUNCTION("IMPORTRANGE(""https://docs.google.com/spreadsheets/d/1awYsYK3VOup2i3Pq_Yjnu8DRu_mYwSBnCR2QPthd0rU/edit?usp=sharing"",""ศูนย์ยกเว้นโฉนด!H40"")"),0)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1921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IFERROR(__xludf.DUMMYFUNCTION("IMPORTRANGE(""https://docs.google.com/spreadsheets/d/1awYsYK3VOup2i3Pq_Yjnu8DRu_mYwSBnCR2QPthd0rU/edit?usp=sharing"",""โฉนดM3!G40"")"),14)</f>
        <v>14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IFERROR(__xludf.DUMMYFUNCTION("IMPORTRANGE(""https://docs.google.com/spreadsheets/d/1awYsYK3VOup2i3Pq_Yjnu8DRu_mYwSBnCR2QPthd0rU/edit?usp=sharing"",""โฉนดM3!H40"")"),1907)</f>
        <v>1907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384030</v>
      </c>
      <c r="M356" s="577">
        <f ca="1">M357+M358</f>
        <v>320030</v>
      </c>
      <c r="N356" s="577">
        <f ca="1">N357+N358</f>
        <v>134213</v>
      </c>
      <c r="O356" s="577">
        <f ca="1">IF(L356&gt;0,N356*100/L356,0)</f>
        <v>34.948571726167224</v>
      </c>
      <c r="P356" s="577">
        <f ca="1">IF(M356&gt;0,N356*100/M356,0)</f>
        <v>41.937630847108082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384030</v>
      </c>
      <c r="M358" s="425">
        <f ca="1">M361+M364</f>
        <v>320030</v>
      </c>
      <c r="N358" s="425">
        <f ca="1">N361+N364</f>
        <v>134213</v>
      </c>
      <c r="O358" s="425">
        <f ca="1">IF(L358&gt;0,N358*100/L358,0)</f>
        <v>34.948571726167224</v>
      </c>
      <c r="P358" s="425">
        <f ca="1">IF(M358&gt;0,N358*100/M358,0)</f>
        <v>41.937630847108082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384030</v>
      </c>
      <c r="M359" s="425">
        <f ca="1">M360+M361</f>
        <v>320030</v>
      </c>
      <c r="N359" s="425">
        <f ca="1">N360+N361</f>
        <v>134213</v>
      </c>
      <c r="O359" s="425">
        <f ca="1">IF(L359&gt;0,N359*100/L359,0)</f>
        <v>34.948571726167224</v>
      </c>
      <c r="P359" s="425">
        <f ca="1">IF(M359&gt;0,N359*100/M359,0)</f>
        <v>41.937630847108082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IFERROR(__xludf.DUMMYFUNCTION("IMPORTRANGE(""https://docs.google.com/spreadsheets/d/1-uDff_7J0KD5mKrp0Vvzr7lt3OU09vwQwhkpOPPYv2Y/edit?usp=sharing"",""งบพรบ!FC40"")"),384030)</f>
        <v>384030</v>
      </c>
      <c r="M361" s="425">
        <f ca="1">IFERROR(__xludf.DUMMYFUNCTION("IMPORTRANGE(""https://docs.google.com/spreadsheets/d/1-uDff_7J0KD5mKrp0Vvzr7lt3OU09vwQwhkpOPPYv2Y/edit?usp=sharing"",""งบพรบ!FH40"")"),320030)</f>
        <v>320030</v>
      </c>
      <c r="N361" s="425">
        <f ca="1">IFERROR(__xludf.DUMMYFUNCTION("IMPORTRANGE(""https://docs.google.com/spreadsheets/d/1-uDff_7J0KD5mKrp0Vvzr7lt3OU09vwQwhkpOPPYv2Y/edit?usp=sharing"",""งบพรบ!FJ40"")"),134213)</f>
        <v>134213</v>
      </c>
      <c r="O361" s="425">
        <f ca="1">IF(L361&gt;0,N361*100/L361,0)</f>
        <v>34.948571726167224</v>
      </c>
      <c r="P361" s="425">
        <f ca="1">IF(M361&gt;0,N361*100/M361,0)</f>
        <v>41.937630847108082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IFERROR(__xludf.DUMMYFUNCTION("IMPORTRANGE(""https://docs.google.com/spreadsheets/d/1-uDff_7J0KD5mKrp0Vvzr7lt3OU09vwQwhkpOPPYv2Y/edit?usp=sharing"",""งบพรบ!FF40"")"),0)</f>
        <v>0</v>
      </c>
      <c r="M364" s="425">
        <f ca="1">IFERROR(__xludf.DUMMYFUNCTION("IMPORTRANGE(""https://docs.google.com/spreadsheets/d/1-uDff_7J0KD5mKrp0Vvzr7lt3OU09vwQwhkpOPPYv2Y/edit?usp=sharing"",""งบพรบ!FI40"")"),0)</f>
        <v>0</v>
      </c>
      <c r="N364" s="425">
        <f ca="1">IFERROR(__xludf.DUMMYFUNCTION("IMPORTRANGE(""https://docs.google.com/spreadsheets/d/1-uDff_7J0KD5mKrp0Vvzr7lt3OU09vwQwhkpOPPYv2Y/edit?usp=sharing"",""งบพรบ!FK40"")"),0)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159</v>
      </c>
      <c r="J365" s="438">
        <f ca="1">J371</f>
        <v>42</v>
      </c>
      <c r="K365" s="439">
        <f ca="1">IF(I365&gt;0,J365*100/I365,0)</f>
        <v>26.415094339622641</v>
      </c>
      <c r="L365" s="571"/>
      <c r="M365" s="571"/>
      <c r="N365" s="571"/>
      <c r="O365" s="571"/>
      <c r="P365" s="571"/>
    </row>
    <row r="366" spans="1:16" ht="19.5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IFERROR(__xludf.DUMMYFUNCTION("IMPORTRANGE(""https://docs.google.com/spreadsheets/d/1tdoBKaGub7dwA3U6UFTqxio9LNnvDCQjHKmttSEBsFQ/edit?usp=sharing"",""จัดที่ดิน!AB40"")"),41)</f>
        <v>41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IFERROR(__xludf.DUMMYFUNCTION("IMPORTRANGE(""https://docs.google.com/spreadsheets/d/1eHaY18a8A9IcSdp1K8H6x8fbOy06t2VsZHhMHf-1x7Y/edit?usp=sharing"",""แผน!EW40"")"),1275)</f>
        <v>1275</v>
      </c>
      <c r="J368" s="565">
        <f ca="1">IFERROR(__xludf.DUMMYFUNCTION("IMPORTRANGE(""https://docs.google.com/spreadsheets/d/1tdoBKaGub7dwA3U6UFTqxio9LNnvDCQjHKmttSEBsFQ/edit?usp=sharing"",""จัดที่ดิน!AC40"")"),337.83)</f>
        <v>337.83</v>
      </c>
      <c r="K368" s="425">
        <f ca="1">IF(I368&gt;0,J368*100/I368,0)</f>
        <v>26.496470588235294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IFERROR(__xludf.DUMMYFUNCTION("IMPORTRANGE(""https://docs.google.com/spreadsheets/d/1eHaY18a8A9IcSdp1K8H6x8fbOy06t2VsZHhMHf-1x7Y/edit?usp=sharing"",""แผน!EX40"")"),240)</f>
        <v>240</v>
      </c>
      <c r="J369" s="424">
        <f ca="1">IFERROR(__xludf.DUMMYFUNCTION("IMPORTRANGE(""https://docs.google.com/spreadsheets/d/1tdoBKaGub7dwA3U6UFTqxio9LNnvDCQjHKmttSEBsFQ/edit?usp=sharing"",""จัดที่ดิน!AD40"")"),79)</f>
        <v>79</v>
      </c>
      <c r="K369" s="425">
        <f ca="1">IF(I369&gt;0,J369*100/I369,0)</f>
        <v>32.916666666666664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IFERROR(__xludf.DUMMYFUNCTION("IMPORTRANGE(""https://docs.google.com/spreadsheets/d/1tdoBKaGub7dwA3U6UFTqxio9LNnvDCQjHKmttSEBsFQ/edit?usp=sharing"",""จัดที่ดิน!AE40"")"),751.81)</f>
        <v>751.81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IFERROR(__xludf.DUMMYFUNCTION("IMPORTRANGE(""https://docs.google.com/spreadsheets/d/1eHaY18a8A9IcSdp1K8H6x8fbOy06t2VsZHhMHf-1x7Y/edit?usp=sharing"",""แผน!EY40"")"),159)</f>
        <v>159</v>
      </c>
      <c r="J371" s="424">
        <f ca="1">IFERROR(__xludf.DUMMYFUNCTION("IMPORTRANGE(""https://docs.google.com/spreadsheets/d/1tdoBKaGub7dwA3U6UFTqxio9LNnvDCQjHKmttSEBsFQ/edit?usp=sharing"",""จัดที่ดิน!AF40"")"),42)</f>
        <v>42</v>
      </c>
      <c r="K371" s="425">
        <f ca="1">IF(I371&gt;0,J371*100/I371,0)</f>
        <v>26.415094339622641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IFERROR(__xludf.DUMMYFUNCTION("IMPORTRANGE(""https://docs.google.com/spreadsheets/d/1tdoBKaGub7dwA3U6UFTqxio9LNnvDCQjHKmttSEBsFQ/edit?usp=sharing"",""จัดที่ดิน!AG40"")"),446.32)</f>
        <v>446.32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IFERROR(__xludf.DUMMYFUNCTION("IMPORTRANGE(""https://docs.google.com/spreadsheets/d/1-uDff_7J0KD5mKrp0Vvzr7lt3OU09vwQwhkpOPPYv2Y/edit?usp=sharing"",""งบพรบ!FM40"")"),0)</f>
        <v>0</v>
      </c>
      <c r="M382" s="521">
        <f ca="1">IFERROR(__xludf.DUMMYFUNCTION("IMPORTRANGE(""https://docs.google.com/spreadsheets/d/1-uDff_7J0KD5mKrp0Vvzr7lt3OU09vwQwhkpOPPYv2Y/edit?usp=sharing"",""งบพรบ!FR40"")"),0)</f>
        <v>0</v>
      </c>
      <c r="N382" s="521">
        <f ca="1">IFERROR(__xludf.DUMMYFUNCTION("IMPORTRANGE(""https://docs.google.com/spreadsheets/d/1-uDff_7J0KD5mKrp0Vvzr7lt3OU09vwQwhkpOPPYv2Y/edit?usp=sharing"",""งบพรบ!FT40"")"),0)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IFERROR(__xludf.DUMMYFUNCTION("IMPORTRANGE(""https://docs.google.com/spreadsheets/d/1-uDff_7J0KD5mKrp0Vvzr7lt3OU09vwQwhkpOPPYv2Y/edit?usp=sharing"",""งบพรบ!FP40"")"),0)</f>
        <v>0</v>
      </c>
      <c r="M385" s="521">
        <f ca="1">IFERROR(__xludf.DUMMYFUNCTION("IMPORTRANGE(""https://docs.google.com/spreadsheets/d/1-uDff_7J0KD5mKrp0Vvzr7lt3OU09vwQwhkpOPPYv2Y/edit?usp=sharing"",""งบพรบ!FS40"")"),0)</f>
        <v>0</v>
      </c>
      <c r="N385" s="521">
        <f ca="1">IFERROR(__xludf.DUMMYFUNCTION("IMPORTRANGE(""https://docs.google.com/spreadsheets/d/1-uDff_7J0KD5mKrp0Vvzr7lt3OU09vwQwhkpOPPYv2Y/edit?usp=sharing"",""งบพรบ!FU40"")"),0)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F4AFC-9A83-4867-804F-8A4F574545D9}">
  <sheetPr>
    <outlinePr summaryBelow="0" summaryRight="0"/>
    <pageSetUpPr fitToPage="1"/>
  </sheetPr>
  <dimension ref="A1:P391"/>
  <sheetViews>
    <sheetView view="pageBreakPreview" zoomScale="60" zoomScaleNormal="70" workbookViewId="0">
      <pane xSplit="8" ySplit="17" topLeftCell="I18" activePane="bottomRight" state="frozen"/>
      <selection activeCell="H27" sqref="H27"/>
      <selection pane="topRight" activeCell="H27" sqref="H27"/>
      <selection pane="bottomLeft" activeCell="H27" sqref="H27"/>
      <selection pane="bottomRight" activeCell="H27" sqref="H27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1.140625" bestFit="1" customWidth="1"/>
    <col min="11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869" t="s">
        <v>0</v>
      </c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  <c r="O1" s="869"/>
      <c r="P1" s="869"/>
    </row>
    <row r="2" spans="1:16" ht="19.5" x14ac:dyDescent="0.3">
      <c r="A2" s="869" t="s">
        <v>169</v>
      </c>
      <c r="B2" s="869"/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  <c r="P2" s="869"/>
    </row>
    <row r="3" spans="1:16" ht="19.5" x14ac:dyDescent="0.3">
      <c r="A3" s="869"/>
      <c r="B3" s="869"/>
      <c r="C3" s="869"/>
      <c r="D3" s="869"/>
      <c r="E3" s="869"/>
      <c r="F3" s="869"/>
      <c r="G3" s="869"/>
      <c r="H3" s="869"/>
      <c r="I3" s="869"/>
      <c r="J3" s="869"/>
      <c r="K3" s="869"/>
      <c r="L3" s="869"/>
      <c r="M3" s="869"/>
      <c r="N3" s="869"/>
      <c r="O3" s="869"/>
      <c r="P3" s="869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5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493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2174835</v>
      </c>
      <c r="M18" s="704">
        <f ca="1">M19+M20</f>
        <v>1866005</v>
      </c>
      <c r="N18" s="704">
        <f ca="1">N19+N20</f>
        <v>564823.06000000006</v>
      </c>
      <c r="O18" s="704">
        <f ca="1">IF(L18&gt;0,N18*100/L18,0)</f>
        <v>25.970846523989181</v>
      </c>
      <c r="P18" s="704">
        <f ca="1">IF(M18&gt;0,N18*100/M18,0)</f>
        <v>30.269107531866212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2174835</v>
      </c>
      <c r="M20" s="817">
        <f ca="1">M23+M26</f>
        <v>1866005</v>
      </c>
      <c r="N20" s="817">
        <f ca="1">N23+N26</f>
        <v>564823.06000000006</v>
      </c>
      <c r="O20" s="817">
        <f ca="1">IF(L20&gt;0,N20*100/L20,0)</f>
        <v>25.970846523989181</v>
      </c>
      <c r="P20" s="817">
        <f ca="1">IF(M20&gt;0,N20*100/M20,0)</f>
        <v>30.269107531866212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2174835</v>
      </c>
      <c r="M21" s="425">
        <f ca="1">M22+M23</f>
        <v>1866005</v>
      </c>
      <c r="N21" s="425">
        <f ca="1">N22+N23</f>
        <v>564823.06000000006</v>
      </c>
      <c r="O21" s="425">
        <f ca="1">IF(L21&gt;0,N21*100/L21,0)</f>
        <v>25.970846523989181</v>
      </c>
      <c r="P21" s="425">
        <f ca="1">IF(M21&gt;0,N21*100/M21,0)</f>
        <v>30.269107531866212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2174835</v>
      </c>
      <c r="M23" s="425">
        <f ca="1">M49+M64+M77+M99+M130+M144+M162+M191+M178+M271+M287+M308+M325+M338+M361+M382</f>
        <v>1866005</v>
      </c>
      <c r="N23" s="425">
        <f ca="1">N49+N64+N77+N99+N130+N144+N162+N191+N178+N271+N287+N308+N325+N338+N361+N382</f>
        <v>564823.06000000006</v>
      </c>
      <c r="O23" s="425">
        <f ca="1">IF(L23&gt;0,N23*100/L23,0)</f>
        <v>25.970846523989181</v>
      </c>
      <c r="P23" s="425">
        <f ca="1">IF(M23&gt;0,N23*100/M23,0)</f>
        <v>30.269107531866212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2.75" hidden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2174835</v>
      </c>
      <c r="M40" s="809">
        <f ca="1">M44+M59+M72+M94+M125+M139+M157+M173+M186+M266+M282+M303+M320+M333+M356</f>
        <v>1866005</v>
      </c>
      <c r="N40" s="809">
        <f ca="1">N44+N59+N72+N94+N125+N139+N157+N173+N186+N266+N282+N303+N320+N333+N356</f>
        <v>564823.06000000006</v>
      </c>
      <c r="O40" s="809">
        <f ca="1">IF(L40&gt;0,N40*100/L40,0)</f>
        <v>25.970846523989181</v>
      </c>
      <c r="P40" s="809">
        <f ca="1">IF(M40&gt;0,N40*100/M40,0)</f>
        <v>30.269107531866212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426570</v>
      </c>
      <c r="M44" s="794">
        <f ca="1">M45+M46</f>
        <v>433140</v>
      </c>
      <c r="N44" s="794">
        <f ca="1">N45+N46</f>
        <v>163200</v>
      </c>
      <c r="O44" s="794">
        <f ca="1">IF(L44&gt;0,N44*100/L44,0)</f>
        <v>38.2586679794641</v>
      </c>
      <c r="P44" s="794">
        <f ca="1">IF(M44&gt;0,N44*100/M44,0)</f>
        <v>37.678348801773097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426570</v>
      </c>
      <c r="M46" s="783">
        <f ca="1">M49+M52</f>
        <v>433140</v>
      </c>
      <c r="N46" s="783">
        <f ca="1">N49+N52</f>
        <v>163200</v>
      </c>
      <c r="O46" s="783">
        <f ca="1">IF(L46&gt;0,N46*100/L46,0)</f>
        <v>38.2586679794641</v>
      </c>
      <c r="P46" s="783">
        <f ca="1">IF(M46&gt;0,N46*100/M46,0)</f>
        <v>37.678348801773097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426570</v>
      </c>
      <c r="M47" s="425">
        <f ca="1">M48+M49</f>
        <v>433140</v>
      </c>
      <c r="N47" s="425">
        <f ca="1">N48+N49</f>
        <v>163200</v>
      </c>
      <c r="O47" s="425">
        <f ca="1">IF(L47&gt;0,N47*100/L47,0)</f>
        <v>38.2586679794641</v>
      </c>
      <c r="P47" s="425">
        <f ca="1">IF(M47&gt;0,N47*100/M47,0)</f>
        <v>37.678348801773097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IFERROR(__xludf.DUMMYFUNCTION("IMPORTRANGE(""https://docs.google.com/spreadsheets/d/1-uDff_7J0KD5mKrp0Vvzr7lt3OU09vwQwhkpOPPYv2Y/edit?usp=sharing"",""งบพรบ!P41"")"),426570)</f>
        <v>426570</v>
      </c>
      <c r="M49" s="425">
        <f ca="1">IFERROR(__xludf.DUMMYFUNCTION("IMPORTRANGE(""https://docs.google.com/spreadsheets/d/1-uDff_7J0KD5mKrp0Vvzr7lt3OU09vwQwhkpOPPYv2Y/edit?usp=sharing"",""งบพรบ!V41"")"),433140)</f>
        <v>433140</v>
      </c>
      <c r="N49" s="425">
        <f ca="1">IFERROR(__xludf.DUMMYFUNCTION("IMPORTRANGE(""https://docs.google.com/spreadsheets/d/1-uDff_7J0KD5mKrp0Vvzr7lt3OU09vwQwhkpOPPYv2Y/edit?usp=sharing"",""งบพรบ!Y41"")"),163200)</f>
        <v>163200</v>
      </c>
      <c r="O49" s="425">
        <f ca="1">IF(L49&gt;0,N49*100/L49,0)</f>
        <v>38.2586679794641</v>
      </c>
      <c r="P49" s="425">
        <f ca="1">IF(M49&gt;0,N49*100/M49,0)</f>
        <v>37.678348801773097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IFERROR(__xludf.DUMMYFUNCTION("IMPORTRANGE(""https://docs.google.com/spreadsheets/d/1-uDff_7J0KD5mKrp0Vvzr7lt3OU09vwQwhkpOPPYv2Y/edit?usp=sharing"",""งบพรบ!S41"")"),0)</f>
        <v>0</v>
      </c>
      <c r="M52" s="425">
        <f ca="1">IFERROR(__xludf.DUMMYFUNCTION("IMPORTRANGE(""https://docs.google.com/spreadsheets/d/1-uDff_7J0KD5mKrp0Vvzr7lt3OU09vwQwhkpOPPYv2Y/edit?usp=sharing"",""งบพรบ!W41"")"),0)</f>
        <v>0</v>
      </c>
      <c r="N52" s="425">
        <f ca="1">IFERROR(__xludf.DUMMYFUNCTION("IMPORTRANGE(""https://docs.google.com/spreadsheets/d/1-uDff_7J0KD5mKrp0Vvzr7lt3OU09vwQwhkpOPPYv2Y/edit?usp=sharing"",""งบพรบ!Z41"")"),0)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572100</v>
      </c>
      <c r="M59" s="763">
        <f ca="1">M60+M61</f>
        <v>431150</v>
      </c>
      <c r="N59" s="763">
        <f ca="1">N60+N61</f>
        <v>260553.06</v>
      </c>
      <c r="O59" s="763">
        <f ca="1">IF(L59&gt;0,N59*100/L59,0)</f>
        <v>45.543272155217622</v>
      </c>
      <c r="P59" s="763">
        <f ca="1">IF(M59&gt;0,N59*100/M59,0)</f>
        <v>60.432114113417605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572100</v>
      </c>
      <c r="M61" s="752">
        <f ca="1">M64+M67</f>
        <v>431150</v>
      </c>
      <c r="N61" s="752">
        <f ca="1">N64+N67</f>
        <v>260553.06</v>
      </c>
      <c r="O61" s="752">
        <f ca="1">IF(L61&gt;0,N61*100/L61,0)</f>
        <v>45.543272155217622</v>
      </c>
      <c r="P61" s="752">
        <f ca="1">IF(M61&gt;0,N61*100/M61,0)</f>
        <v>60.432114113417605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572100</v>
      </c>
      <c r="M62" s="425">
        <f ca="1">M63+M64</f>
        <v>431150</v>
      </c>
      <c r="N62" s="425">
        <f ca="1">N63+N64</f>
        <v>260553.06</v>
      </c>
      <c r="O62" s="425">
        <f ca="1">IF(L62&gt;0,N62*100/L62,0)</f>
        <v>45.543272155217622</v>
      </c>
      <c r="P62" s="425">
        <f ca="1">IF(M62&gt;0,N62*100/M62,0)</f>
        <v>60.432114113417605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IFERROR(__xludf.DUMMYFUNCTION("IMPORTRANGE(""https://docs.google.com/spreadsheets/d/1-uDff_7J0KD5mKrp0Vvzr7lt3OU09vwQwhkpOPPYv2Y/edit?usp=sharing"",""งบพรบ!AC41"")"),572100)</f>
        <v>572100</v>
      </c>
      <c r="M64" s="425">
        <f ca="1">IFERROR(__xludf.DUMMYFUNCTION("IMPORTRANGE(""https://docs.google.com/spreadsheets/d/1-uDff_7J0KD5mKrp0Vvzr7lt3OU09vwQwhkpOPPYv2Y/edit?usp=sharing"",""งบพรบ!AH41"")"),431150)</f>
        <v>431150</v>
      </c>
      <c r="N64" s="425">
        <f ca="1">IFERROR(__xludf.DUMMYFUNCTION("IMPORTRANGE(""https://docs.google.com/spreadsheets/d/1-uDff_7J0KD5mKrp0Vvzr7lt3OU09vwQwhkpOPPYv2Y/edit?usp=sharing"",""งบพรบ!AJ41"")"),260553.06)</f>
        <v>260553.06</v>
      </c>
      <c r="O64" s="425">
        <f ca="1">IF(L64&gt;0,N64*100/L64,0)</f>
        <v>45.543272155217622</v>
      </c>
      <c r="P64" s="425">
        <f ca="1">IF(M64&gt;0,N64*100/M64,0)</f>
        <v>60.432114113417605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IFERROR(__xludf.DUMMYFUNCTION("IMPORTRANGE(""https://docs.google.com/spreadsheets/d/1-uDff_7J0KD5mKrp0Vvzr7lt3OU09vwQwhkpOPPYv2Y/edit?usp=sharing"",""งบพรบ!AF41"")"),0)</f>
        <v>0</v>
      </c>
      <c r="M67" s="747">
        <f ca="1">IFERROR(__xludf.DUMMYFUNCTION("IMPORTRANGE(""https://docs.google.com/spreadsheets/d/1-uDff_7J0KD5mKrp0Vvzr7lt3OU09vwQwhkpOPPYv2Y/edit?usp=sharing"",""งบพรบ!AI41"")"),0)</f>
        <v>0</v>
      </c>
      <c r="N67" s="747">
        <f ca="1">IFERROR(__xludf.DUMMYFUNCTION("IMPORTRANGE(""https://docs.google.com/spreadsheets/d/1-uDff_7J0KD5mKrp0Vvzr7lt3OU09vwQwhkpOPPYv2Y/edit?usp=sharing"",""งบพรบ!AK41"")"),0)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19.5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1</v>
      </c>
      <c r="J70" s="705">
        <f>J82</f>
        <v>0</v>
      </c>
      <c r="K70" s="704">
        <f ca="1">IF(I70&gt;0,J70*100/I70,0)</f>
        <v>0</v>
      </c>
      <c r="L70" s="703"/>
      <c r="M70" s="703"/>
      <c r="N70" s="703"/>
      <c r="O70" s="703"/>
      <c r="P70" s="703"/>
    </row>
    <row r="71" spans="1:16" ht="19.5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40</v>
      </c>
      <c r="J71" s="705">
        <f>J83</f>
        <v>0</v>
      </c>
      <c r="K71" s="704">
        <f ca="1">IF(I71&gt;0,J71*100/I71,0)</f>
        <v>0</v>
      </c>
      <c r="L71" s="703"/>
      <c r="M71" s="703"/>
      <c r="N71" s="703"/>
      <c r="O71" s="703"/>
      <c r="P71" s="703"/>
    </row>
    <row r="72" spans="1:16" ht="19.5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506900</v>
      </c>
      <c r="M72" s="577">
        <f ca="1">M73+M74</f>
        <v>438500</v>
      </c>
      <c r="N72" s="577">
        <f ca="1">N73+N74</f>
        <v>75634</v>
      </c>
      <c r="O72" s="577">
        <f ca="1">IF(L72&gt;0,N72*100/L72,0)</f>
        <v>14.920891694614323</v>
      </c>
      <c r="P72" s="577">
        <f ca="1">IF(M72&gt;0,N72*100/M72,0)</f>
        <v>17.248346636259978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506900</v>
      </c>
      <c r="M74" s="425">
        <f ca="1">M77+M80</f>
        <v>438500</v>
      </c>
      <c r="N74" s="425">
        <f ca="1">N77+N80</f>
        <v>75634</v>
      </c>
      <c r="O74" s="425">
        <f ca="1">IF(L74&gt;0,N74*100/L74,0)</f>
        <v>14.920891694614323</v>
      </c>
      <c r="P74" s="425">
        <f ca="1">IF(M74&gt;0,N74*100/M74,0)</f>
        <v>17.248346636259978</v>
      </c>
    </row>
    <row r="75" spans="1:16" ht="18.75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506900</v>
      </c>
      <c r="M75" s="425">
        <f ca="1">M76+M77</f>
        <v>438500</v>
      </c>
      <c r="N75" s="425">
        <f ca="1">N76+N77</f>
        <v>75634</v>
      </c>
      <c r="O75" s="425">
        <f ca="1">IF(L75&gt;0,N75*100/L75,0)</f>
        <v>14.920891694614323</v>
      </c>
      <c r="P75" s="425">
        <f ca="1">IF(M75&gt;0,N75*100/M75,0)</f>
        <v>17.248346636259978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IFERROR(__xludf.DUMMYFUNCTION("IMPORTRANGE(""https://docs.google.com/spreadsheets/d/1-uDff_7J0KD5mKrp0Vvzr7lt3OU09vwQwhkpOPPYv2Y/edit?usp=sharing"",""งบพรบ!AM41"")"),506900)</f>
        <v>506900</v>
      </c>
      <c r="M77" s="425">
        <f ca="1">IFERROR(__xludf.DUMMYFUNCTION("IMPORTRANGE(""https://docs.google.com/spreadsheets/d/1-uDff_7J0KD5mKrp0Vvzr7lt3OU09vwQwhkpOPPYv2Y/edit?usp=sharing"",""งบพรบ!AR41"")"),438500)</f>
        <v>438500</v>
      </c>
      <c r="N77" s="425">
        <f ca="1">IFERROR(__xludf.DUMMYFUNCTION("IMPORTRANGE(""https://docs.google.com/spreadsheets/d/1-uDff_7J0KD5mKrp0Vvzr7lt3OU09vwQwhkpOPPYv2Y/edit?usp=sharing"",""งบพรบ!AT41"")"),75634)</f>
        <v>75634</v>
      </c>
      <c r="O77" s="425">
        <f ca="1">IF(L77&gt;0,N77*100/L77,0)</f>
        <v>14.920891694614323</v>
      </c>
      <c r="P77" s="425">
        <f ca="1">IF(M77&gt;0,N77*100/M77,0)</f>
        <v>17.248346636259978</v>
      </c>
    </row>
    <row r="78" spans="1:16" ht="18.75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IFERROR(__xludf.DUMMYFUNCTION("IMPORTRANGE(""https://docs.google.com/spreadsheets/d/1-uDff_7J0KD5mKrp0Vvzr7lt3OU09vwQwhkpOPPYv2Y/edit?usp=sharing"",""งบพรบ!AP41"")"),0)</f>
        <v>0</v>
      </c>
      <c r="M80" s="425">
        <f ca="1">IFERROR(__xludf.DUMMYFUNCTION("IMPORTRANGE(""https://docs.google.com/spreadsheets/d/1-uDff_7J0KD5mKrp0Vvzr7lt3OU09vwQwhkpOPPYv2Y/edit?usp=sharing"",""งบพรบ!AS41"")"),0)</f>
        <v>0</v>
      </c>
      <c r="N80" s="425">
        <f ca="1">IFERROR(__xludf.DUMMYFUNCTION("IMPORTRANGE(""https://docs.google.com/spreadsheets/d/1-uDff_7J0KD5mKrp0Vvzr7lt3OU09vwQwhkpOPPYv2Y/edit?usp=sharing"",""งบพรบ!AU41"")"),0)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1</v>
      </c>
      <c r="J82" s="625">
        <f>J84+J86+J88</f>
        <v>0</v>
      </c>
      <c r="K82" s="624">
        <f ca="1">IF(I82&gt;0,J82*100/I82,0)</f>
        <v>0</v>
      </c>
      <c r="L82" s="525"/>
      <c r="M82" s="525"/>
      <c r="N82" s="525"/>
      <c r="O82" s="525"/>
      <c r="P82" s="525"/>
    </row>
    <row r="83" spans="1:16" ht="19.5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40</v>
      </c>
      <c r="J83" s="625">
        <f>J85+J87+J89</f>
        <v>0</v>
      </c>
      <c r="K83" s="624">
        <f ca="1">IF(I83&gt;0,J83*100/I83,0)</f>
        <v>0</v>
      </c>
      <c r="L83" s="525"/>
      <c r="M83" s="525"/>
      <c r="N83" s="525"/>
      <c r="O83" s="525"/>
      <c r="P83" s="525"/>
    </row>
    <row r="84" spans="1:16" ht="18.75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IFERROR(__xludf.DUMMYFUNCTION("IMPORTRANGE(""https://docs.google.com/spreadsheets/d/1eHaY18a8A9IcSdp1K8H6x8fbOy06t2VsZHhMHf-1x7Y/edit?usp=sharing"",""แผน!H41"")"),0)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IFERROR(__xludf.DUMMYFUNCTION("IMPORTRANGE(""https://docs.google.com/spreadsheets/d/1eHaY18a8A9IcSdp1K8H6x8fbOy06t2VsZHhMHf-1x7Y/edit?usp=sharing"",""แผน!I41"")"),0)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IFERROR(__xludf.DUMMYFUNCTION("IMPORTRANGE(""https://docs.google.com/spreadsheets/d/1eHaY18a8A9IcSdp1K8H6x8fbOy06t2VsZHhMHf-1x7Y/edit?usp=sharing"",""แผน!F41"")"),0)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IFERROR(__xludf.DUMMYFUNCTION("IMPORTRANGE(""https://docs.google.com/spreadsheets/d/1eHaY18a8A9IcSdp1K8H6x8fbOy06t2VsZHhMHf-1x7Y/edit?usp=sharing"",""แผน!G41"")"),0)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IFERROR(__xludf.DUMMYFUNCTION("IMPORTRANGE(""https://docs.google.com/spreadsheets/d/1eHaY18a8A9IcSdp1K8H6x8fbOy06t2VsZHhMHf-1x7Y/edit?usp=sharing"",""แผน!D41"")"),1)</f>
        <v>1</v>
      </c>
      <c r="J88" s="595">
        <v>0</v>
      </c>
      <c r="K88" s="621">
        <f ca="1">IF(I88&gt;0,J88*100/I88,0)</f>
        <v>0</v>
      </c>
      <c r="L88" s="525"/>
      <c r="M88" s="525"/>
      <c r="N88" s="525"/>
      <c r="O88" s="525"/>
      <c r="P88" s="525"/>
    </row>
    <row r="89" spans="1:16" ht="18.75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IFERROR(__xludf.DUMMYFUNCTION("IMPORTRANGE(""https://docs.google.com/spreadsheets/d/1eHaY18a8A9IcSdp1K8H6x8fbOy06t2VsZHhMHf-1x7Y/edit?usp=sharing"",""แผน!E41"")"),40)</f>
        <v>40</v>
      </c>
      <c r="J89" s="595">
        <v>0</v>
      </c>
      <c r="K89" s="621">
        <f ca="1">IF(I89&gt;0,J89*100/I89,0)</f>
        <v>0</v>
      </c>
      <c r="L89" s="525"/>
      <c r="M89" s="525"/>
      <c r="N89" s="525"/>
      <c r="O89" s="525"/>
      <c r="P89" s="525"/>
    </row>
    <row r="90" spans="1:16" ht="18.75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IFERROR(__xludf.DUMMYFUNCTION("IMPORTRANGE(""https://docs.google.com/spreadsheets/d/1eHaY18a8A9IcSdp1K8H6x8fbOy06t2VsZHhMHf-1x7Y/edit?usp=sharing"",""แผน!J41"")"),1)</f>
        <v>1</v>
      </c>
      <c r="J90" s="595">
        <v>0</v>
      </c>
      <c r="K90" s="621">
        <f ca="1">IF(I90&gt;0,J90*100/I90,0)</f>
        <v>0</v>
      </c>
      <c r="L90" s="525"/>
      <c r="M90" s="525"/>
      <c r="N90" s="525"/>
      <c r="O90" s="525"/>
      <c r="P90" s="525"/>
    </row>
    <row r="91" spans="1:16" ht="19.5" hidden="1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hidden="1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0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hidden="1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0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hidden="1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0</v>
      </c>
      <c r="M94" s="577">
        <f ca="1">M95+M96</f>
        <v>0</v>
      </c>
      <c r="N94" s="577">
        <f ca="1">N95+N96</f>
        <v>0</v>
      </c>
      <c r="O94" s="577">
        <f ca="1">IF(L94&gt;0,N94*100/L94,0)</f>
        <v>0</v>
      </c>
      <c r="P94" s="577">
        <f ca="1">IF(M94&gt;0,N94*100/M94,0)</f>
        <v>0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hidden="1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hidden="1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IFERROR(__xludf.DUMMYFUNCTION("IMPORTRANGE(""https://docs.google.com/spreadsheets/d/1-uDff_7J0KD5mKrp0Vvzr7lt3OU09vwQwhkpOPPYv2Y/edit?usp=sharing"",""งบพรบ!AW41"")"),0)</f>
        <v>0</v>
      </c>
      <c r="M99" s="425">
        <f ca="1">IFERROR(__xludf.DUMMYFUNCTION("IMPORTRANGE(""https://docs.google.com/spreadsheets/d/1-uDff_7J0KD5mKrp0Vvzr7lt3OU09vwQwhkpOPPYv2Y/edit?usp=sharing"",""งบพรบ!BB41"")"),0)</f>
        <v>0</v>
      </c>
      <c r="N99" s="425">
        <f ca="1">IFERROR(__xludf.DUMMYFUNCTION("IMPORTRANGE(""https://docs.google.com/spreadsheets/d/1-uDff_7J0KD5mKrp0Vvzr7lt3OU09vwQwhkpOPPYv2Y/edit?usp=sharing"",""งบพรบ!BD41"")"),0)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hidden="1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IFERROR(__xludf.DUMMYFUNCTION("IMPORTRANGE(""https://docs.google.com/spreadsheets/d/1-uDff_7J0KD5mKrp0Vvzr7lt3OU09vwQwhkpOPPYv2Y/edit?usp=sharing"",""งบพรบ!AZ41"")"),0)</f>
        <v>0</v>
      </c>
      <c r="M102" s="425">
        <f ca="1">IFERROR(__xludf.DUMMYFUNCTION("IMPORTRANGE(""https://docs.google.com/spreadsheets/d/1-uDff_7J0KD5mKrp0Vvzr7lt3OU09vwQwhkpOPPYv2Y/edit?usp=sharing"",""งบพรบ!BC41"")"),0)</f>
        <v>0</v>
      </c>
      <c r="N102" s="425">
        <f ca="1">IFERROR(__xludf.DUMMYFUNCTION("IMPORTRANGE(""https://docs.google.com/spreadsheets/d/1-uDff_7J0KD5mKrp0Vvzr7lt3OU09vwQwhkpOPPYv2Y/edit?usp=sharing"",""งบพรบ!BE41"")"),0)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hidden="1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hidden="1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IFERROR(__xludf.DUMMYFUNCTION("IMPORTRANGE(""https://docs.google.com/spreadsheets/d/1eHaY18a8A9IcSdp1K8H6x8fbOy06t2VsZHhMHf-1x7Y/edit?usp=sharing"",""แผน!N41"")"),0)</f>
        <v>0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hidden="1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IFERROR(__xludf.DUMMYFUNCTION("IMPORTRANGE(""https://docs.google.com/spreadsheets/d/1eHaY18a8A9IcSdp1K8H6x8fbOy06t2VsZHhMHf-1x7Y/edit?usp=sharing"",""แผน!O41"")"),0)</f>
        <v>0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hidden="1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IFERROR(__xludf.DUMMYFUNCTION("IMPORTRANGE(""https://docs.google.com/spreadsheets/d/1eHaY18a8A9IcSdp1K8H6x8fbOy06t2VsZHhMHf-1x7Y/edit?usp=sharing"",""แผน!R41"")"),0)</f>
        <v>0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IFERROR(__xludf.DUMMYFUNCTION("IMPORTRANGE(""https://docs.google.com/spreadsheets/d/1-uDff_7J0KD5mKrp0Vvzr7lt3OU09vwQwhkpOPPYv2Y/edit?usp=sharing"",""งบพรบ!BG41"")"),0)</f>
        <v>0</v>
      </c>
      <c r="M130" s="723">
        <f ca="1">IFERROR(__xludf.DUMMYFUNCTION("IMPORTRANGE(""https://docs.google.com/spreadsheets/d/1-uDff_7J0KD5mKrp0Vvzr7lt3OU09vwQwhkpOPPYv2Y/edit?usp=sharing"",""งบพรบ!BL41"")"),0)</f>
        <v>0</v>
      </c>
      <c r="N130" s="723">
        <f ca="1">IFERROR(__xludf.DUMMYFUNCTION("IMPORTRANGE(""https://docs.google.com/spreadsheets/d/1-uDff_7J0KD5mKrp0Vvzr7lt3OU09vwQwhkpOPPYv2Y/edit?usp=sharing"",""งบพรบ!BN41"")"),0)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IFERROR(__xludf.DUMMYFUNCTION("IMPORTRANGE(""https://docs.google.com/spreadsheets/d/1-uDff_7J0KD5mKrp0Vvzr7lt3OU09vwQwhkpOPPYv2Y/edit?usp=sharing"",""งบพรบ!BJ41"")"),0)</f>
        <v>0</v>
      </c>
      <c r="M133" s="723">
        <f ca="1">IFERROR(__xludf.DUMMYFUNCTION("IMPORTRANGE(""https://docs.google.com/spreadsheets/d/1-uDff_7J0KD5mKrp0Vvzr7lt3OU09vwQwhkpOPPYv2Y/edit?usp=sharing"",""งบพรบ!BM41"")"),0)</f>
        <v>0</v>
      </c>
      <c r="N133" s="723">
        <f ca="1">IFERROR(__xludf.DUMMYFUNCTION("IMPORTRANGE(""https://docs.google.com/spreadsheets/d/1-uDff_7J0KD5mKrp0Vvzr7lt3OU09vwQwhkpOPPYv2Y/edit?usp=sharing"",""งบพรบ!BO41"")"),0)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0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20</v>
      </c>
      <c r="J137" s="705">
        <f>J152</f>
        <v>0</v>
      </c>
      <c r="K137" s="704">
        <f ca="1">IF(I137&gt;0,J137*100/I137,0)</f>
        <v>0</v>
      </c>
      <c r="L137" s="703"/>
      <c r="M137" s="703"/>
      <c r="N137" s="703"/>
      <c r="O137" s="703"/>
      <c r="P137" s="703"/>
    </row>
    <row r="138" spans="1:16" ht="19.5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2</v>
      </c>
      <c r="J138" s="705">
        <f>J153</f>
        <v>0</v>
      </c>
      <c r="K138" s="704">
        <f ca="1">IF(I138&gt;0,J138*100/I138,0)</f>
        <v>0</v>
      </c>
      <c r="L138" s="703"/>
      <c r="M138" s="703"/>
      <c r="N138" s="703"/>
      <c r="O138" s="703"/>
      <c r="P138" s="703"/>
    </row>
    <row r="139" spans="1:16" ht="19.5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31600</v>
      </c>
      <c r="M139" s="577">
        <f ca="1">M140+M141</f>
        <v>26600</v>
      </c>
      <c r="N139" s="577">
        <f ca="1">N140+N141</f>
        <v>0</v>
      </c>
      <c r="O139" s="577">
        <f ca="1">IF(L139&gt;0,N139*100/L139,0)</f>
        <v>0</v>
      </c>
      <c r="P139" s="577">
        <f ca="1">IF(M139&gt;0,N139*100/M139,0)</f>
        <v>0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31600</v>
      </c>
      <c r="M141" s="425">
        <f ca="1">M144+M147</f>
        <v>26600</v>
      </c>
      <c r="N141" s="425">
        <f ca="1">N144+N147</f>
        <v>0</v>
      </c>
      <c r="O141" s="425">
        <f ca="1">IF(L141&gt;0,N141*100/L141,0)</f>
        <v>0</v>
      </c>
      <c r="P141" s="425">
        <f ca="1">IF(M141&gt;0,N141*100/M141,0)</f>
        <v>0</v>
      </c>
    </row>
    <row r="142" spans="1:16" ht="18.75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31600</v>
      </c>
      <c r="M142" s="425">
        <f ca="1">M143+M144</f>
        <v>26600</v>
      </c>
      <c r="N142" s="425">
        <f ca="1">N143+N144</f>
        <v>0</v>
      </c>
      <c r="O142" s="425">
        <f ca="1">IF(L142&gt;0,N142*100/L142,0)</f>
        <v>0</v>
      </c>
      <c r="P142" s="425">
        <f ca="1">IF(M142&gt;0,N142*100/M142,0)</f>
        <v>0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IFERROR(__xludf.DUMMYFUNCTION("IMPORTRANGE(""https://docs.google.com/spreadsheets/d/1-uDff_7J0KD5mKrp0Vvzr7lt3OU09vwQwhkpOPPYv2Y/edit?usp=sharing"",""งบพรบ!BQ41"")"),31600)</f>
        <v>31600</v>
      </c>
      <c r="M144" s="425">
        <f ca="1">IFERROR(__xludf.DUMMYFUNCTION("IMPORTRANGE(""https://docs.google.com/spreadsheets/d/1-uDff_7J0KD5mKrp0Vvzr7lt3OU09vwQwhkpOPPYv2Y/edit?usp=sharing"",""งบพรบ!BV41"")"),26600)</f>
        <v>26600</v>
      </c>
      <c r="N144" s="425">
        <f ca="1">IFERROR(__xludf.DUMMYFUNCTION("IMPORTRANGE(""https://docs.google.com/spreadsheets/d/1-uDff_7J0KD5mKrp0Vvzr7lt3OU09vwQwhkpOPPYv2Y/edit?usp=sharing"",""งบพรบ!BX41"")"),0)</f>
        <v>0</v>
      </c>
      <c r="O144" s="425">
        <f ca="1">IF(L144&gt;0,N144*100/L144,0)</f>
        <v>0</v>
      </c>
      <c r="P144" s="425">
        <f ca="1">IF(M144&gt;0,N144*100/M144,0)</f>
        <v>0</v>
      </c>
    </row>
    <row r="145" spans="1:16" ht="18.75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IFERROR(__xludf.DUMMYFUNCTION("IMPORTRANGE(""https://docs.google.com/spreadsheets/d/1-uDff_7J0KD5mKrp0Vvzr7lt3OU09vwQwhkpOPPYv2Y/edit?usp=sharing"",""งบพรบ!BT41"")"),0)</f>
        <v>0</v>
      </c>
      <c r="M147" s="425">
        <f ca="1">IFERROR(__xludf.DUMMYFUNCTION("IMPORTRANGE(""https://docs.google.com/spreadsheets/d/1-uDff_7J0KD5mKrp0Vvzr7lt3OU09vwQwhkpOPPYv2Y/edit?usp=sharing"",""งบพรบ!BW41"")"),0)</f>
        <v>0</v>
      </c>
      <c r="N147" s="425">
        <f ca="1">IFERROR(__xludf.DUMMYFUNCTION("IMPORTRANGE(""https://docs.google.com/spreadsheets/d/1-uDff_7J0KD5mKrp0Vvzr7lt3OU09vwQwhkpOPPYv2Y/edit?usp=sharing"",""งบพรบ!BY41"")"),0)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x14ac:dyDescent="0.3">
      <c r="A150" s="535"/>
      <c r="B150" s="418"/>
      <c r="C150" s="418"/>
      <c r="D150" s="420"/>
      <c r="E150" s="570" t="s">
        <v>159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IFERROR(__xludf.DUMMYFUNCTION("IMPORTRANGE(""https://docs.google.com/spreadsheets/d/1eHaY18a8A9IcSdp1K8H6x8fbOy06t2VsZHhMHf-1x7Y/edit?usp=sharing"",""แผน!U41"")"),0)</f>
        <v>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IFERROR(__xludf.DUMMYFUNCTION("IMPORTRANGE(""https://docs.google.com/spreadsheets/d/1eHaY18a8A9IcSdp1K8H6x8fbOy06t2VsZHhMHf-1x7Y/edit?usp=sharing"",""แผน!V41"")"),0)</f>
        <v>0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x14ac:dyDescent="0.3">
      <c r="A152" s="535"/>
      <c r="B152" s="418"/>
      <c r="C152" s="418"/>
      <c r="D152" s="420"/>
      <c r="E152" s="570" t="s">
        <v>158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IFERROR(__xludf.DUMMYFUNCTION("IMPORTRANGE(""https://docs.google.com/spreadsheets/d/1eHaY18a8A9IcSdp1K8H6x8fbOy06t2VsZHhMHf-1x7Y/edit?usp=sharing"",""แผน!W41"")"),20)</f>
        <v>20</v>
      </c>
      <c r="J152" s="595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IFERROR(__xludf.DUMMYFUNCTION("IMPORTRANGE(""https://docs.google.com/spreadsheets/d/1eHaY18a8A9IcSdp1K8H6x8fbOy06t2VsZHhMHf-1x7Y/edit?usp=sharing"",""แผน!X41"")"),2)</f>
        <v>2</v>
      </c>
      <c r="J153" s="595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IFERROR(__xludf.DUMMYFUNCTION("IMPORTRANGE(""https://docs.google.com/spreadsheets/d/1eHaY18a8A9IcSdp1K8H6x8fbOy06t2VsZHhMHf-1x7Y/edit?usp=sharing"",""แผน!Y41"")"),0)</f>
        <v>0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hidden="1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hidden="1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I169</f>
        <v>0</v>
      </c>
      <c r="J156" s="705">
        <f>J169</f>
        <v>0</v>
      </c>
      <c r="K156" s="704">
        <f ca="1">IF(I156&gt;0,J156*100/I156,0)</f>
        <v>0</v>
      </c>
      <c r="L156" s="703"/>
      <c r="M156" s="703"/>
      <c r="N156" s="703"/>
      <c r="O156" s="703"/>
      <c r="P156" s="703"/>
    </row>
    <row r="157" spans="1:16" ht="19.5" hidden="1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hidden="1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hidden="1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hidden="1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IFERROR(__xludf.DUMMYFUNCTION("IMPORTRANGE(""https://docs.google.com/spreadsheets/d/1-uDff_7J0KD5mKrp0Vvzr7lt3OU09vwQwhkpOPPYv2Y/edit?usp=sharing"",""งบพรบ!CA41"")"),0)</f>
        <v>0</v>
      </c>
      <c r="M162" s="425">
        <f ca="1">IFERROR(__xludf.DUMMYFUNCTION("IMPORTRANGE(""https://docs.google.com/spreadsheets/d/1-uDff_7J0KD5mKrp0Vvzr7lt3OU09vwQwhkpOPPYv2Y/edit?usp=sharing"",""งบพรบ!CF41"")"),0)</f>
        <v>0</v>
      </c>
      <c r="N162" s="425">
        <f ca="1">IFERROR(__xludf.DUMMYFUNCTION("IMPORTRANGE(""https://docs.google.com/spreadsheets/d/1-uDff_7J0KD5mKrp0Vvzr7lt3OU09vwQwhkpOPPYv2Y/edit?usp=sharing"",""งบพรบ!CH41"")"),0)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hidden="1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hidden="1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IFERROR(__xludf.DUMMYFUNCTION("IMPORTRANGE(""https://docs.google.com/spreadsheets/d/1-uDff_7J0KD5mKrp0Vvzr7lt3OU09vwQwhkpOPPYv2Y/edit?usp=sharing"",""งบพรบ!CD41"")"),0)</f>
        <v>0</v>
      </c>
      <c r="M165" s="425">
        <f ca="1">IFERROR(__xludf.DUMMYFUNCTION("IMPORTRANGE(""https://docs.google.com/spreadsheets/d/1-uDff_7J0KD5mKrp0Vvzr7lt3OU09vwQwhkpOPPYv2Y/edit?usp=sharing"",""งบพรบ!CG41"")"),0)</f>
        <v>0</v>
      </c>
      <c r="N165" s="425">
        <f ca="1">IFERROR(__xludf.DUMMYFUNCTION("IMPORTRANGE(""https://docs.google.com/spreadsheets/d/1-uDff_7J0KD5mKrp0Vvzr7lt3OU09vwQwhkpOPPYv2Y/edit?usp=sharing"",""งบพรบ!CI41"")"),0)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hidden="1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hidden="1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IFERROR(__xludf.DUMMYFUNCTION("IMPORTRANGE(""https://docs.google.com/spreadsheets/d/1eHaY18a8A9IcSdp1K8H6x8fbOy06t2VsZHhMHf-1x7Y/edit?usp=sharing"",""แผน!Z41"")"),0)</f>
        <v>0</v>
      </c>
      <c r="J167" s="595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IFERROR(__xludf.DUMMYFUNCTION("IMPORTRANGE(""https://docs.google.com/spreadsheets/d/1eHaY18a8A9IcSdp1K8H6x8fbOy06t2VsZHhMHf-1x7Y/edit?usp=sharing"",""แผน!Z41"")"),0)</f>
        <v>0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IFERROR(__xludf.DUMMYFUNCTION("IMPORTRANGE(""https://docs.google.com/spreadsheets/d/1eHaY18a8A9IcSdp1K8H6x8fbOy06t2VsZHhMHf-1x7Y/edit?usp=sharing"",""แผน!Z41"")"),0)</f>
        <v>0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7</v>
      </c>
      <c r="J172" s="688">
        <f>J183+J184</f>
        <v>0</v>
      </c>
      <c r="K172" s="687">
        <f ca="1">IF(I172&gt;0,J172*100/I172,0)</f>
        <v>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19590</v>
      </c>
      <c r="M173" s="577">
        <f ca="1">M174+M175</f>
        <v>19590</v>
      </c>
      <c r="N173" s="577">
        <f ca="1">N174+N175</f>
        <v>0</v>
      </c>
      <c r="O173" s="577">
        <f ca="1">IF(L173&gt;0,N173*100/L173,0)</f>
        <v>0</v>
      </c>
      <c r="P173" s="577">
        <f ca="1">IF(M173&gt;0,N173*100/M173,0)</f>
        <v>0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19590</v>
      </c>
      <c r="N175" s="425">
        <f ca="1">N178+N181</f>
        <v>0</v>
      </c>
      <c r="O175" s="425">
        <f ca="1">IF(L175&gt;0,N175*100/L175,0)</f>
        <v>0</v>
      </c>
      <c r="P175" s="425">
        <f ca="1">IF(M175&gt;0,N175*100/M175,0)</f>
        <v>0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19590</v>
      </c>
      <c r="M176" s="425">
        <f ca="1">M177+M178</f>
        <v>19590</v>
      </c>
      <c r="N176" s="425">
        <f ca="1">N177+N178</f>
        <v>0</v>
      </c>
      <c r="O176" s="425">
        <f ca="1">IF(L176&gt;0,N176*100/L176,0)</f>
        <v>0</v>
      </c>
      <c r="P176" s="425">
        <f ca="1">IF(M176&gt;0,N176*100/M176,0)</f>
        <v>0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IFERROR(__xludf.DUMMYFUNCTION("IMPORTRANGE(""https://docs.google.com/spreadsheets/d/1-uDff_7J0KD5mKrp0Vvzr7lt3OU09vwQwhkpOPPYv2Y/edit?usp=sharing"",""งบพรบ!CK41"")"),19590)</f>
        <v>19590</v>
      </c>
      <c r="M178" s="425">
        <f ca="1">IFERROR(__xludf.DUMMYFUNCTION("IMPORTRANGE(""https://docs.google.com/spreadsheets/d/1-uDff_7J0KD5mKrp0Vvzr7lt3OU09vwQwhkpOPPYv2Y/edit?usp=sharing"",""งบพรบ!CP41"")"),19590)</f>
        <v>19590</v>
      </c>
      <c r="N178" s="425">
        <f ca="1">IFERROR(__xludf.DUMMYFUNCTION("IMPORTRANGE(""https://docs.google.com/spreadsheets/d/1-uDff_7J0KD5mKrp0Vvzr7lt3OU09vwQwhkpOPPYv2Y/edit?usp=sharing"",""งบพรบ!CR41"")"),0)</f>
        <v>0</v>
      </c>
      <c r="O178" s="425">
        <f ca="1">IF(L178&gt;0,N178*100/L178,0)</f>
        <v>0</v>
      </c>
      <c r="P178" s="425">
        <f ca="1">IF(M178&gt;0,N178*100/M178,0)</f>
        <v>0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IFERROR(__xludf.DUMMYFUNCTION("IMPORTRANGE(""https://docs.google.com/spreadsheets/d/1-uDff_7J0KD5mKrp0Vvzr7lt3OU09vwQwhkpOPPYv2Y/edit?usp=sharing"",""งบพรบ!CN41"")"),0)</f>
        <v>0</v>
      </c>
      <c r="M181" s="425">
        <f ca="1">IFERROR(__xludf.DUMMYFUNCTION("IMPORTRANGE(""https://docs.google.com/spreadsheets/d/1-uDff_7J0KD5mKrp0Vvzr7lt3OU09vwQwhkpOPPYv2Y/edit?usp=sharing"",""งบพรบ!CQ41"")"),0)</f>
        <v>0</v>
      </c>
      <c r="N181" s="425">
        <f ca="1">IFERROR(__xludf.DUMMYFUNCTION("IMPORTRANGE(""https://docs.google.com/spreadsheets/d/1-uDff_7J0KD5mKrp0Vvzr7lt3OU09vwQwhkpOPPYv2Y/edit?usp=sharing"",""งบพรบ!CS41"")"),0)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IFERROR(__xludf.DUMMYFUNCTION("IMPORTRANGE(""https://docs.google.com/spreadsheets/d/1eHaY18a8A9IcSdp1K8H6x8fbOy06t2VsZHhMHf-1x7Y/edit?usp=sharing"",""แผน!AA41"")"),7)</f>
        <v>7</v>
      </c>
      <c r="J183" s="595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0</v>
      </c>
      <c r="J185" s="688">
        <f>J230+J231</f>
        <v>0</v>
      </c>
      <c r="K185" s="687">
        <f ca="1">IF(I185&gt;0,J185*100/I185,0)</f>
        <v>0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52500</v>
      </c>
      <c r="M186" s="577">
        <f ca="1">M187+M188</f>
        <v>31500</v>
      </c>
      <c r="N186" s="577">
        <f ca="1">N187+N188</f>
        <v>0</v>
      </c>
      <c r="O186" s="577">
        <f ca="1">IF(L186&gt;0,N186*100/L186,0)</f>
        <v>0</v>
      </c>
      <c r="P186" s="577">
        <f ca="1">IF(M186&gt;0,N186*100/M186,0)</f>
        <v>0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52500</v>
      </c>
      <c r="M188" s="425">
        <f ca="1">M191+M194</f>
        <v>31500</v>
      </c>
      <c r="N188" s="425">
        <f ca="1">N191+N194</f>
        <v>0</v>
      </c>
      <c r="O188" s="425">
        <f ca="1">IF(L188&gt;0,N188*100/L188,0)</f>
        <v>0</v>
      </c>
      <c r="P188" s="425">
        <f ca="1">IF(M188&gt;0,N188*100/M188,0)</f>
        <v>0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52500</v>
      </c>
      <c r="M189" s="425">
        <f ca="1">M190+M191</f>
        <v>31500</v>
      </c>
      <c r="N189" s="425">
        <f ca="1">N190+N191</f>
        <v>0</v>
      </c>
      <c r="O189" s="425">
        <f ca="1">IF(L189&gt;0,N189*100/L189,0)</f>
        <v>0</v>
      </c>
      <c r="P189" s="425">
        <f ca="1">IF(M189&gt;0,N189*100/M189,0)</f>
        <v>0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IFERROR(__xludf.DUMMYFUNCTION("IMPORTRANGE(""https://docs.google.com/spreadsheets/d/1-uDff_7J0KD5mKrp0Vvzr7lt3OU09vwQwhkpOPPYv2Y/edit?usp=sharing"",""งบพรบ!CU41"")"),52500)</f>
        <v>52500</v>
      </c>
      <c r="M191" s="425">
        <f ca="1">IFERROR(__xludf.DUMMYFUNCTION("IMPORTRANGE(""https://docs.google.com/spreadsheets/d/1-uDff_7J0KD5mKrp0Vvzr7lt3OU09vwQwhkpOPPYv2Y/edit?usp=sharing"",""งบพรบ!CZ41"")"),31500)</f>
        <v>31500</v>
      </c>
      <c r="N191" s="425">
        <f ca="1">IFERROR(__xludf.DUMMYFUNCTION("IMPORTRANGE(""https://docs.google.com/spreadsheets/d/1-uDff_7J0KD5mKrp0Vvzr7lt3OU09vwQwhkpOPPYv2Y/edit?usp=sharing"",""งบพรบ!DB41"")"),0)</f>
        <v>0</v>
      </c>
      <c r="O191" s="425">
        <f ca="1">IF(L191&gt;0,N191*100/L191,0)</f>
        <v>0</v>
      </c>
      <c r="P191" s="425">
        <f ca="1">IF(M191&gt;0,N191*100/M191,0)</f>
        <v>0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IFERROR(__xludf.DUMMYFUNCTION("IMPORTRANGE(""https://docs.google.com/spreadsheets/d/1-uDff_7J0KD5mKrp0Vvzr7lt3OU09vwQwhkpOPPYv2Y/edit?usp=sharing"",""งบพรบ!CX41"")"),0)</f>
        <v>0</v>
      </c>
      <c r="M194" s="425">
        <f ca="1">IFERROR(__xludf.DUMMYFUNCTION("IMPORTRANGE(""https://docs.google.com/spreadsheets/d/1-uDff_7J0KD5mKrp0Vvzr7lt3OU09vwQwhkpOPPYv2Y/edit?usp=sharing"",""งบพรบ!DA41"")"),0)</f>
        <v>0</v>
      </c>
      <c r="N194" s="425">
        <f ca="1">IFERROR(__xludf.DUMMYFUNCTION("IMPORTRANGE(""https://docs.google.com/spreadsheets/d/1-uDff_7J0KD5mKrp0Vvzr7lt3OU09vwQwhkpOPPYv2Y/edit?usp=sharing"",""งบพรบ!DC41"")"),0)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0</v>
      </c>
      <c r="K195" s="439">
        <f ca="1">IF(I195&gt;0,J195*100/I195,0)</f>
        <v>0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IFERROR(__xludf.DUMMYFUNCTION("IMPORTRANGE(""https://docs.google.com/spreadsheets/d/1eHaY18a8A9IcSdp1K8H6x8fbOy06t2VsZHhMHf-1x7Y/edit?usp=sharing"",""แผน!AB41"")"),6000)</f>
        <v>6000</v>
      </c>
      <c r="M196" s="428"/>
      <c r="N196" s="686">
        <v>0</v>
      </c>
      <c r="O196" s="577">
        <f ca="1">IF(L196&gt;0,N196*100/L196,0)</f>
        <v>0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IFERROR(__xludf.DUMMYFUNCTION("IMPORTRANGE(""https://docs.google.com/spreadsheets/d/1eHaY18a8A9IcSdp1K8H6x8fbOy06t2VsZHhMHf-1x7Y/edit?usp=sharing"",""แผน!AE41"")"),4)</f>
        <v>4</v>
      </c>
      <c r="J198" s="595">
        <v>0</v>
      </c>
      <c r="K198" s="425">
        <f ca="1">IF(I198&gt;0,J198*100/I198,0)</f>
        <v>0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2</v>
      </c>
      <c r="J202" s="438">
        <f>J209</f>
        <v>0</v>
      </c>
      <c r="K202" s="439">
        <f ca="1">IF(I202&gt;0,J202*100/I202,0)</f>
        <v>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26000</v>
      </c>
      <c r="M203" s="428"/>
      <c r="N203" s="577">
        <f>N204+N205+N206+N207</f>
        <v>0</v>
      </c>
      <c r="O203" s="577">
        <f ca="1">IF(L203&gt;0,N203*100/L203,0)</f>
        <v>0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2" t="s">
        <v>157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IFERROR(__xludf.DUMMYFUNCTION("IMPORTRANGE(""https://docs.google.com/spreadsheets/d/1eHaY18a8A9IcSdp1K8H6x8fbOy06t2VsZHhMHf-1x7Y/edit?usp=sharing"",""แผน!AG41"")"),2000)</f>
        <v>2000</v>
      </c>
      <c r="M204" s="428"/>
      <c r="N204" s="683">
        <v>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IFERROR(__xludf.DUMMYFUNCTION("IMPORTRANGE(""https://docs.google.com/spreadsheets/d/1eHaY18a8A9IcSdp1K8H6x8fbOy06t2VsZHhMHf-1x7Y/edit?usp=sharing"",""แผน!AH41"")"),0)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IFERROR(__xludf.DUMMYFUNCTION("IMPORTRANGE(""https://docs.google.com/spreadsheets/d/1eHaY18a8A9IcSdp1K8H6x8fbOy06t2VsZHhMHf-1x7Y/edit?usp=sharing"",""แผน!AI41"")"),16000)</f>
        <v>16000</v>
      </c>
      <c r="M206" s="428"/>
      <c r="N206" s="683">
        <v>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IFERROR(__xludf.DUMMYFUNCTION("IMPORTRANGE(""https://docs.google.com/spreadsheets/d/1eHaY18a8A9IcSdp1K8H6x8fbOy06t2VsZHhMHf-1x7Y/edit?usp=sharing"",""แผน!AJ41"")"),8000)</f>
        <v>8000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IFERROR(__xludf.DUMMYFUNCTION("IMPORTRANGE(""https://docs.google.com/spreadsheets/d/1eHaY18a8A9IcSdp1K8H6x8fbOy06t2VsZHhMHf-1x7Y/edit?usp=sharing"",""แผน!AK41"")"),2)</f>
        <v>2</v>
      </c>
      <c r="J209" s="595">
        <v>0</v>
      </c>
      <c r="K209" s="621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IFERROR(__xludf.DUMMYFUNCTION("IMPORTRANGE(""https://docs.google.com/spreadsheets/d/1eHaY18a8A9IcSdp1K8H6x8fbOy06t2VsZHhMHf-1x7Y/edit?usp=sharing"",""แผน!JX41"")"),2)</f>
        <v>2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IFERROR(__xludf.DUMMYFUNCTION("IMPORTRANGE(""https://docs.google.com/spreadsheets/d/1eHaY18a8A9IcSdp1K8H6x8fbOy06t2VsZHhMHf-1x7Y/edit?usp=sharing"",""แผน!JY41"")"),0)</f>
        <v>0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1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14000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IFERROR(__xludf.DUMMYFUNCTION("IMPORTRANGE(""https://docs.google.com/spreadsheets/d/1eHaY18a8A9IcSdp1K8H6x8fbOy06t2VsZHhMHf-1x7Y/edit?usp=sharing"",""แผน!AM41"")"),1000)</f>
        <v>1000</v>
      </c>
      <c r="M215" s="428"/>
      <c r="N215" s="683">
        <v>0</v>
      </c>
      <c r="O215" s="525"/>
      <c r="P215" s="428"/>
    </row>
    <row r="216" spans="1:16" ht="18.75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IFERROR(__xludf.DUMMYFUNCTION("IMPORTRANGE(""https://docs.google.com/spreadsheets/d/1eHaY18a8A9IcSdp1K8H6x8fbOy06t2VsZHhMHf-1x7Y/edit?usp=sharing"",""แผน!AN41"")"),5000)</f>
        <v>5000</v>
      </c>
      <c r="M216" s="428"/>
      <c r="N216" s="683">
        <v>0</v>
      </c>
      <c r="O216" s="525"/>
      <c r="P216" s="428"/>
    </row>
    <row r="217" spans="1:16" ht="18.75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IFERROR(__xludf.DUMMYFUNCTION("IMPORTRANGE(""https://docs.google.com/spreadsheets/d/1eHaY18a8A9IcSdp1K8H6x8fbOy06t2VsZHhMHf-1x7Y/edit?usp=sharing"",""แผน!AO41"")"),8000)</f>
        <v>8000</v>
      </c>
      <c r="M217" s="428"/>
      <c r="N217" s="683">
        <v>0</v>
      </c>
      <c r="O217" s="525"/>
      <c r="P217" s="428"/>
    </row>
    <row r="218" spans="1:16" ht="19.5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IFERROR(__xludf.DUMMYFUNCTION("IMPORTRANGE(""https://docs.google.com/spreadsheets/d/1eHaY18a8A9IcSdp1K8H6x8fbOy06t2VsZHhMHf-1x7Y/edit?usp=sharing"",""แผน!AP41"")"),1)</f>
        <v>1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IFERROR(__xludf.DUMMYFUNCTION("IMPORTRANGE(""https://docs.google.com/spreadsheets/d/1eHaY18a8A9IcSdp1K8H6x8fbOy06t2VsZHhMHf-1x7Y/edit?usp=sharing"",""แผน!AP41"")"),1)</f>
        <v>1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30000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6500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2" t="s">
        <v>156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IFERROR(__xludf.DUMMYFUNCTION("IMPORTRANGE(""https://docs.google.com/spreadsheets/d/1eHaY18a8A9IcSdp1K8H6x8fbOy06t2VsZHhMHf-1x7Y/edit?usp=sharing"",""แผน!AR41"")"),5000)</f>
        <v>5000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IFERROR(__xludf.DUMMYFUNCTION("IMPORTRANGE(""https://docs.google.com/spreadsheets/d/1eHaY18a8A9IcSdp1K8H6x8fbOy06t2VsZHhMHf-1x7Y/edit?usp=sharing"",""แผน!AS41"")"),1500)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IFERROR(__xludf.DUMMYFUNCTION("IMPORTRANGE(""https://docs.google.com/spreadsheets/d/1eHaY18a8A9IcSdp1K8H6x8fbOy06t2VsZHhMHf-1x7Y/edit?usp=sharing"",""แผน!AT41"")"),0)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IFERROR(__xludf.DUMMYFUNCTION("IMPORTRANGE(""https://docs.google.com/spreadsheets/d/1eHaY18a8A9IcSdp1K8H6x8fbOy06t2VsZHhMHf-1x7Y/edit?usp=sharing"",""แผน!AV41"")"),30000)</f>
        <v>30000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IFERROR(__xludf.DUMMYFUNCTION("IMPORTRANGE(""https://docs.google.com/spreadsheets/d/1eHaY18a8A9IcSdp1K8H6x8fbOy06t2VsZHhMHf-1x7Y/edit?usp=sharing"",""แผน!AV41"")"),30000)</f>
        <v>30000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IFERROR(__xludf.DUMMYFUNCTION("IMPORTRANGE(""https://docs.google.com/spreadsheets/d/1eHaY18a8A9IcSdp1K8H6x8fbOy06t2VsZHhMHf-1x7Y/edit?usp=sharing"",""แผน!AU41"")"),0)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432"/>
      <c r="B231" s="434"/>
      <c r="C231" s="682" t="s">
        <v>99</v>
      </c>
      <c r="D231" s="433"/>
      <c r="E231" s="433"/>
      <c r="F231" s="433"/>
      <c r="G231" s="436"/>
      <c r="H231" s="437" t="s">
        <v>33</v>
      </c>
      <c r="I231" s="438">
        <f ca="1">I242+I253</f>
        <v>0</v>
      </c>
      <c r="J231" s="438">
        <f>J242+J253</f>
        <v>0</v>
      </c>
      <c r="K231" s="439">
        <f ca="1">IF(I231&gt;0,J231*100/I231,0)</f>
        <v>0</v>
      </c>
      <c r="L231" s="571"/>
      <c r="M231" s="571"/>
      <c r="N231" s="571"/>
      <c r="O231" s="571"/>
      <c r="P231" s="571"/>
    </row>
    <row r="232" spans="1:16" ht="19.5" hidden="1" x14ac:dyDescent="0.3">
      <c r="A232" s="535"/>
      <c r="B232" s="418"/>
      <c r="C232" s="570" t="s">
        <v>16</v>
      </c>
      <c r="D232" s="579" t="s">
        <v>17</v>
      </c>
      <c r="E232" s="418"/>
      <c r="F232" s="418"/>
      <c r="G232" s="422"/>
      <c r="H232" s="681" t="s">
        <v>12</v>
      </c>
      <c r="I232" s="526"/>
      <c r="J232" s="526"/>
      <c r="K232" s="525"/>
      <c r="L232" s="577">
        <f ca="1">L243+L254</f>
        <v>0</v>
      </c>
      <c r="M232" s="428"/>
      <c r="N232" s="577">
        <f>N243+N254</f>
        <v>0</v>
      </c>
      <c r="O232" s="428"/>
      <c r="P232" s="428"/>
    </row>
    <row r="233" spans="1:16" ht="18.75" hidden="1" x14ac:dyDescent="0.25">
      <c r="A233" s="535"/>
      <c r="B233" s="419"/>
      <c r="C233" s="418"/>
      <c r="D233" s="293" t="s">
        <v>80</v>
      </c>
      <c r="E233" s="418"/>
      <c r="F233" s="418"/>
      <c r="G233" s="422"/>
      <c r="H233" s="576" t="s">
        <v>12</v>
      </c>
      <c r="I233" s="526"/>
      <c r="J233" s="526"/>
      <c r="K233" s="525"/>
      <c r="L233" s="425">
        <f ca="1">L244+L255</f>
        <v>0</v>
      </c>
      <c r="M233" s="428"/>
      <c r="N233" s="425">
        <f>N244+N255</f>
        <v>0</v>
      </c>
      <c r="O233" s="428"/>
      <c r="P233" s="428"/>
    </row>
    <row r="234" spans="1:16" ht="18.75" hidden="1" x14ac:dyDescent="0.25">
      <c r="A234" s="417"/>
      <c r="B234" s="419"/>
      <c r="C234" s="419"/>
      <c r="D234" s="293" t="s">
        <v>82</v>
      </c>
      <c r="E234" s="418"/>
      <c r="F234" s="418"/>
      <c r="G234" s="422"/>
      <c r="H234" s="576" t="s">
        <v>12</v>
      </c>
      <c r="I234" s="427"/>
      <c r="J234" s="427"/>
      <c r="K234" s="428"/>
      <c r="L234" s="425">
        <f ca="1">L245+L256</f>
        <v>0</v>
      </c>
      <c r="M234" s="428"/>
      <c r="N234" s="425">
        <f>N245+N256</f>
        <v>0</v>
      </c>
      <c r="O234" s="428"/>
      <c r="P234" s="428"/>
    </row>
    <row r="235" spans="1:16" ht="18.75" hidden="1" x14ac:dyDescent="0.25">
      <c r="A235" s="417"/>
      <c r="B235" s="419"/>
      <c r="C235" s="419"/>
      <c r="D235" s="293" t="s">
        <v>100</v>
      </c>
      <c r="E235" s="418"/>
      <c r="F235" s="418"/>
      <c r="G235" s="422"/>
      <c r="H235" s="576" t="s">
        <v>12</v>
      </c>
      <c r="I235" s="427"/>
      <c r="J235" s="427"/>
      <c r="K235" s="428"/>
      <c r="L235" s="425">
        <f ca="1">L246+L257</f>
        <v>0</v>
      </c>
      <c r="M235" s="428"/>
      <c r="N235" s="425">
        <f>N246+N257</f>
        <v>0</v>
      </c>
      <c r="O235" s="428"/>
      <c r="P235" s="428"/>
    </row>
    <row r="236" spans="1:16" ht="18.75" hidden="1" x14ac:dyDescent="0.25">
      <c r="A236" s="417"/>
      <c r="B236" s="419"/>
      <c r="C236" s="419"/>
      <c r="D236" s="293" t="s">
        <v>101</v>
      </c>
      <c r="E236" s="418"/>
      <c r="F236" s="418"/>
      <c r="G236" s="422"/>
      <c r="H236" s="576" t="s">
        <v>12</v>
      </c>
      <c r="I236" s="427"/>
      <c r="J236" s="427"/>
      <c r="K236" s="428"/>
      <c r="L236" s="425">
        <f ca="1">L247+L258</f>
        <v>0</v>
      </c>
      <c r="M236" s="428"/>
      <c r="N236" s="425">
        <f>N247+N258</f>
        <v>0</v>
      </c>
      <c r="O236" s="428"/>
      <c r="P236" s="428"/>
    </row>
    <row r="237" spans="1:16" ht="19.5" hidden="1" x14ac:dyDescent="0.3">
      <c r="A237" s="532"/>
      <c r="B237" s="430"/>
      <c r="C237" s="680" t="s">
        <v>16</v>
      </c>
      <c r="D237" s="569" t="s">
        <v>36</v>
      </c>
      <c r="E237" s="529"/>
      <c r="F237" s="529"/>
      <c r="G237" s="528"/>
      <c r="H237" s="527"/>
      <c r="I237" s="526"/>
      <c r="J237" s="427"/>
      <c r="K237" s="428"/>
      <c r="L237" s="428"/>
      <c r="M237" s="428"/>
      <c r="N237" s="428"/>
      <c r="O237" s="525"/>
      <c r="P237" s="525"/>
    </row>
    <row r="238" spans="1:16" ht="18.75" hidden="1" x14ac:dyDescent="0.25">
      <c r="A238" s="532"/>
      <c r="B238" s="430"/>
      <c r="C238" s="430"/>
      <c r="D238" s="421" t="s">
        <v>102</v>
      </c>
      <c r="E238" s="420"/>
      <c r="F238" s="420"/>
      <c r="G238" s="527"/>
      <c r="H238" s="566" t="s">
        <v>33</v>
      </c>
      <c r="I238" s="424">
        <f ca="1">I249+I260</f>
        <v>0</v>
      </c>
      <c r="J238" s="424">
        <f>J249+J260</f>
        <v>0</v>
      </c>
      <c r="K238" s="425">
        <f ca="1">IF(I238&gt;0,J238*100/I238,0)</f>
        <v>0</v>
      </c>
      <c r="L238" s="428"/>
      <c r="M238" s="428"/>
      <c r="N238" s="428"/>
      <c r="O238" s="428"/>
      <c r="P238" s="428"/>
    </row>
    <row r="239" spans="1:16" ht="18.75" hidden="1" x14ac:dyDescent="0.25">
      <c r="A239" s="532"/>
      <c r="B239" s="430"/>
      <c r="C239" s="430"/>
      <c r="D239" s="679" t="s">
        <v>41</v>
      </c>
      <c r="E239" s="420"/>
      <c r="F239" s="420"/>
      <c r="G239" s="527"/>
      <c r="H239" s="527"/>
      <c r="I239" s="427"/>
      <c r="J239" s="427"/>
      <c r="K239" s="428"/>
      <c r="L239" s="428"/>
      <c r="M239" s="428"/>
      <c r="N239" s="428"/>
      <c r="O239" s="525"/>
      <c r="P239" s="525"/>
    </row>
    <row r="240" spans="1:16" ht="18.75" hidden="1" x14ac:dyDescent="0.25">
      <c r="A240" s="532"/>
      <c r="B240" s="430"/>
      <c r="C240" s="430"/>
      <c r="D240" s="430"/>
      <c r="E240" s="567" t="s">
        <v>103</v>
      </c>
      <c r="F240" s="420"/>
      <c r="G240" s="527"/>
      <c r="H240" s="566" t="s">
        <v>33</v>
      </c>
      <c r="I240" s="424">
        <f>I251+I262</f>
        <v>0</v>
      </c>
      <c r="J240" s="424">
        <f>J251+J262</f>
        <v>0</v>
      </c>
      <c r="K240" s="425">
        <f>IF(I240&gt;0,J240*100/I240,0)</f>
        <v>0</v>
      </c>
      <c r="L240" s="428"/>
      <c r="M240" s="428"/>
      <c r="N240" s="428"/>
      <c r="O240" s="428"/>
      <c r="P240" s="428"/>
    </row>
    <row r="241" spans="1:16" ht="18.75" hidden="1" x14ac:dyDescent="0.25">
      <c r="A241" s="532"/>
      <c r="B241" s="430"/>
      <c r="C241" s="430"/>
      <c r="D241" s="430"/>
      <c r="E241" s="567" t="s">
        <v>104</v>
      </c>
      <c r="F241" s="420"/>
      <c r="G241" s="527"/>
      <c r="H241" s="566" t="s">
        <v>54</v>
      </c>
      <c r="I241" s="424">
        <f>I252+I263</f>
        <v>0</v>
      </c>
      <c r="J241" s="424">
        <f>J252+J263</f>
        <v>0</v>
      </c>
      <c r="K241" s="425">
        <f>IF(I241&gt;0,J241*100/I241,0)</f>
        <v>0</v>
      </c>
      <c r="L241" s="428"/>
      <c r="M241" s="428"/>
      <c r="N241" s="428"/>
      <c r="O241" s="428"/>
      <c r="P241" s="428"/>
    </row>
    <row r="242" spans="1:16" ht="19.5" hidden="1" x14ac:dyDescent="0.3">
      <c r="A242" s="432"/>
      <c r="B242" s="434"/>
      <c r="C242" s="678" t="s">
        <v>105</v>
      </c>
      <c r="D242" s="433"/>
      <c r="E242" s="433"/>
      <c r="F242" s="433"/>
      <c r="G242" s="436"/>
      <c r="H242" s="677" t="s">
        <v>33</v>
      </c>
      <c r="I242" s="676">
        <f ca="1">I249</f>
        <v>0</v>
      </c>
      <c r="J242" s="676">
        <f>J249</f>
        <v>0</v>
      </c>
      <c r="K242" s="675">
        <f ca="1">IF(I242&gt;0,J242*100/I242,0)</f>
        <v>0</v>
      </c>
      <c r="L242" s="571"/>
      <c r="M242" s="571"/>
      <c r="N242" s="571"/>
      <c r="O242" s="571"/>
      <c r="P242" s="571"/>
    </row>
    <row r="243" spans="1:16" ht="19.5" hidden="1" x14ac:dyDescent="0.3">
      <c r="A243" s="535"/>
      <c r="B243" s="418"/>
      <c r="C243" s="531" t="s">
        <v>16</v>
      </c>
      <c r="D243" s="541" t="s">
        <v>17</v>
      </c>
      <c r="E243" s="418"/>
      <c r="F243" s="418"/>
      <c r="G243" s="422"/>
      <c r="H243" s="673" t="s">
        <v>12</v>
      </c>
      <c r="I243" s="526"/>
      <c r="J243" s="526"/>
      <c r="K243" s="525"/>
      <c r="L243" s="539">
        <f ca="1">L244+L245+L246+L247</f>
        <v>0</v>
      </c>
      <c r="M243" s="428"/>
      <c r="N243" s="539">
        <f>N244+N245+N246+N247</f>
        <v>0</v>
      </c>
      <c r="O243" s="539">
        <f ca="1">IF(L243&gt;0,N243*100/L243,0)</f>
        <v>0</v>
      </c>
      <c r="P243" s="539">
        <f>IF(M243&gt;0,N243*100/M243,0)</f>
        <v>0</v>
      </c>
    </row>
    <row r="244" spans="1:16" ht="18.75" hidden="1" x14ac:dyDescent="0.25">
      <c r="A244" s="535"/>
      <c r="B244" s="419"/>
      <c r="C244" s="418"/>
      <c r="D244" s="534" t="s">
        <v>80</v>
      </c>
      <c r="E244" s="418"/>
      <c r="F244" s="418"/>
      <c r="G244" s="422"/>
      <c r="H244" s="536" t="s">
        <v>12</v>
      </c>
      <c r="I244" s="526"/>
      <c r="J244" s="526"/>
      <c r="K244" s="525"/>
      <c r="L244" s="521">
        <f ca="1">IFERROR(__xludf.DUMMYFUNCTION("IMPORTRANGE(""https://docs.google.com/spreadsheets/d/1eHaY18a8A9IcSdp1K8H6x8fbOy06t2VsZHhMHf-1x7Y/edit?usp=sharing"",""แผน!AX41"")"),0)</f>
        <v>0</v>
      </c>
      <c r="M244" s="428"/>
      <c r="N244" s="672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34" t="s">
        <v>82</v>
      </c>
      <c r="E245" s="418"/>
      <c r="F245" s="418"/>
      <c r="G245" s="422"/>
      <c r="H245" s="536" t="s">
        <v>12</v>
      </c>
      <c r="I245" s="427"/>
      <c r="J245" s="427"/>
      <c r="K245" s="428"/>
      <c r="L245" s="521">
        <f ca="1">IFERROR(__xludf.DUMMYFUNCTION("IMPORTRANGE(""https://docs.google.com/spreadsheets/d/1eHaY18a8A9IcSdp1K8H6x8fbOy06t2VsZHhMHf-1x7Y/edit?usp=sharing"",""แผน!AY41"")"),0)</f>
        <v>0</v>
      </c>
      <c r="M245" s="428"/>
      <c r="N245" s="672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34" t="s">
        <v>100</v>
      </c>
      <c r="E246" s="418"/>
      <c r="F246" s="418"/>
      <c r="G246" s="422"/>
      <c r="H246" s="536" t="s">
        <v>12</v>
      </c>
      <c r="I246" s="427"/>
      <c r="J246" s="427"/>
      <c r="K246" s="428"/>
      <c r="L246" s="521">
        <f ca="1">IFERROR(__xludf.DUMMYFUNCTION("IMPORTRANGE(""https://docs.google.com/spreadsheets/d/1eHaY18a8A9IcSdp1K8H6x8fbOy06t2VsZHhMHf-1x7Y/edit?usp=sharing"",""แผน!AZ41"")"),0)</f>
        <v>0</v>
      </c>
      <c r="M246" s="428"/>
      <c r="N246" s="672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34" t="s">
        <v>101</v>
      </c>
      <c r="E247" s="418"/>
      <c r="F247" s="418"/>
      <c r="G247" s="422"/>
      <c r="H247" s="536" t="s">
        <v>12</v>
      </c>
      <c r="I247" s="427"/>
      <c r="J247" s="427"/>
      <c r="K247" s="428"/>
      <c r="L247" s="521">
        <f ca="1">IFERROR(__xludf.DUMMYFUNCTION("IMPORTRANGE(""https://docs.google.com/spreadsheets/d/1eHaY18a8A9IcSdp1K8H6x8fbOy06t2VsZHhMHf-1x7Y/edit?usp=sharing"",""แผน!BA41"")"),0)</f>
        <v>0</v>
      </c>
      <c r="M247" s="428"/>
      <c r="N247" s="672">
        <v>0</v>
      </c>
      <c r="O247" s="428"/>
      <c r="P247" s="428"/>
    </row>
    <row r="248" spans="1:16" ht="19.5" hidden="1" x14ac:dyDescent="0.3">
      <c r="A248" s="532"/>
      <c r="B248" s="430"/>
      <c r="C248" s="671" t="s">
        <v>16</v>
      </c>
      <c r="D248" s="530" t="s">
        <v>36</v>
      </c>
      <c r="E248" s="529"/>
      <c r="F248" s="529"/>
      <c r="G248" s="528"/>
      <c r="H248" s="527"/>
      <c r="I248" s="526"/>
      <c r="J248" s="427"/>
      <c r="K248" s="428"/>
      <c r="L248" s="428"/>
      <c r="M248" s="428"/>
      <c r="N248" s="428"/>
      <c r="O248" s="525"/>
      <c r="P248" s="525"/>
    </row>
    <row r="249" spans="1:16" ht="18.75" hidden="1" x14ac:dyDescent="0.25">
      <c r="A249" s="532"/>
      <c r="B249" s="430"/>
      <c r="C249" s="430"/>
      <c r="D249" s="524" t="s">
        <v>102</v>
      </c>
      <c r="E249" s="420"/>
      <c r="F249" s="420"/>
      <c r="G249" s="527"/>
      <c r="H249" s="668" t="s">
        <v>33</v>
      </c>
      <c r="I249" s="199">
        <f ca="1">IFERROR(__xludf.DUMMYFUNCTION("IMPORTRANGE(""https://docs.google.com/spreadsheets/d/1eHaY18a8A9IcSdp1K8H6x8fbOy06t2VsZHhMHf-1x7Y/edit?usp=sharing"",""แผน!BG41"")"),0)</f>
        <v>0</v>
      </c>
      <c r="J249" s="522">
        <v>0</v>
      </c>
      <c r="K249" s="521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2"/>
      <c r="B250" s="430"/>
      <c r="C250" s="430"/>
      <c r="D250" s="670" t="s">
        <v>41</v>
      </c>
      <c r="E250" s="420"/>
      <c r="F250" s="420"/>
      <c r="G250" s="527"/>
      <c r="H250" s="527"/>
      <c r="I250" s="427"/>
      <c r="J250" s="427"/>
      <c r="K250" s="428"/>
      <c r="L250" s="428"/>
      <c r="M250" s="428"/>
      <c r="N250" s="428"/>
      <c r="O250" s="525"/>
      <c r="P250" s="525"/>
    </row>
    <row r="251" spans="1:16" ht="18.75" hidden="1" x14ac:dyDescent="0.25">
      <c r="A251" s="532"/>
      <c r="B251" s="430"/>
      <c r="C251" s="430"/>
      <c r="D251" s="430"/>
      <c r="E251" s="669" t="s">
        <v>103</v>
      </c>
      <c r="F251" s="420"/>
      <c r="G251" s="527"/>
      <c r="H251" s="668" t="s">
        <v>33</v>
      </c>
      <c r="I251" s="199">
        <v>0</v>
      </c>
      <c r="J251" s="522">
        <v>0</v>
      </c>
      <c r="K251" s="521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2"/>
      <c r="B252" s="430"/>
      <c r="C252" s="430"/>
      <c r="D252" s="430"/>
      <c r="E252" s="669" t="s">
        <v>104</v>
      </c>
      <c r="F252" s="420"/>
      <c r="G252" s="527"/>
      <c r="H252" s="668" t="s">
        <v>54</v>
      </c>
      <c r="I252" s="199">
        <v>0</v>
      </c>
      <c r="J252" s="522">
        <v>0</v>
      </c>
      <c r="K252" s="521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78" t="s">
        <v>106</v>
      </c>
      <c r="D253" s="433"/>
      <c r="E253" s="433"/>
      <c r="F253" s="433"/>
      <c r="G253" s="436"/>
      <c r="H253" s="677" t="s">
        <v>33</v>
      </c>
      <c r="I253" s="676">
        <f ca="1">I260</f>
        <v>0</v>
      </c>
      <c r="J253" s="676">
        <f>J260</f>
        <v>0</v>
      </c>
      <c r="K253" s="675">
        <f ca="1">IF(I253&gt;0,J253*100/I253,0)</f>
        <v>0</v>
      </c>
      <c r="L253" s="571"/>
      <c r="M253" s="571"/>
      <c r="N253" s="571"/>
      <c r="O253" s="571"/>
      <c r="P253" s="571"/>
    </row>
    <row r="254" spans="1:16" ht="19.5" hidden="1" x14ac:dyDescent="0.3">
      <c r="A254" s="535"/>
      <c r="B254" s="418"/>
      <c r="C254" s="531" t="s">
        <v>16</v>
      </c>
      <c r="D254" s="674" t="s">
        <v>17</v>
      </c>
      <c r="E254" s="418"/>
      <c r="F254" s="418"/>
      <c r="G254" s="422"/>
      <c r="H254" s="673" t="s">
        <v>12</v>
      </c>
      <c r="I254" s="526"/>
      <c r="J254" s="526"/>
      <c r="K254" s="525"/>
      <c r="L254" s="539">
        <f ca="1">L255+L256+L257+L258</f>
        <v>0</v>
      </c>
      <c r="M254" s="428"/>
      <c r="N254" s="539">
        <f>N255+N256+N257+N258</f>
        <v>0</v>
      </c>
      <c r="O254" s="539">
        <f ca="1">IF(L254&gt;0,N254*100/L254,0)</f>
        <v>0</v>
      </c>
      <c r="P254" s="539">
        <f>IF(M254&gt;0,N254*100/M254,0)</f>
        <v>0</v>
      </c>
    </row>
    <row r="255" spans="1:16" ht="18.75" hidden="1" x14ac:dyDescent="0.25">
      <c r="A255" s="535"/>
      <c r="B255" s="419"/>
      <c r="C255" s="418"/>
      <c r="D255" s="534" t="s">
        <v>80</v>
      </c>
      <c r="E255" s="418"/>
      <c r="F255" s="418"/>
      <c r="G255" s="422"/>
      <c r="H255" s="536" t="s">
        <v>12</v>
      </c>
      <c r="I255" s="526"/>
      <c r="J255" s="526"/>
      <c r="K255" s="525"/>
      <c r="L255" s="521">
        <f ca="1">IFERROR(__xludf.DUMMYFUNCTION("IMPORTRANGE(""https://docs.google.com/spreadsheets/d/1eHaY18a8A9IcSdp1K8H6x8fbOy06t2VsZHhMHf-1x7Y/edit?usp=sharing"",""แผน!BB41"")"),0)</f>
        <v>0</v>
      </c>
      <c r="M255" s="428"/>
      <c r="N255" s="672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34" t="s">
        <v>82</v>
      </c>
      <c r="E256" s="418"/>
      <c r="F256" s="418"/>
      <c r="G256" s="422"/>
      <c r="H256" s="536" t="s">
        <v>12</v>
      </c>
      <c r="I256" s="427"/>
      <c r="J256" s="427"/>
      <c r="K256" s="428"/>
      <c r="L256" s="521">
        <f ca="1">IFERROR(__xludf.DUMMYFUNCTION("IMPORTRANGE(""https://docs.google.com/spreadsheets/d/1eHaY18a8A9IcSdp1K8H6x8fbOy06t2VsZHhMHf-1x7Y/edit?usp=sharing"",""แผน!BC41"")"),0)</f>
        <v>0</v>
      </c>
      <c r="M256" s="428"/>
      <c r="N256" s="672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34" t="s">
        <v>100</v>
      </c>
      <c r="E257" s="418"/>
      <c r="F257" s="418"/>
      <c r="G257" s="422"/>
      <c r="H257" s="536" t="s">
        <v>12</v>
      </c>
      <c r="I257" s="427"/>
      <c r="J257" s="427"/>
      <c r="K257" s="428"/>
      <c r="L257" s="521">
        <f ca="1">IFERROR(__xludf.DUMMYFUNCTION("IMPORTRANGE(""https://docs.google.com/spreadsheets/d/1eHaY18a8A9IcSdp1K8H6x8fbOy06t2VsZHhMHf-1x7Y/edit?usp=sharing"",""แผน!BD41"")"),0)</f>
        <v>0</v>
      </c>
      <c r="M257" s="428"/>
      <c r="N257" s="672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34" t="s">
        <v>101</v>
      </c>
      <c r="E258" s="418"/>
      <c r="F258" s="418"/>
      <c r="G258" s="422"/>
      <c r="H258" s="536" t="s">
        <v>12</v>
      </c>
      <c r="I258" s="427"/>
      <c r="J258" s="427"/>
      <c r="K258" s="428"/>
      <c r="L258" s="521">
        <f ca="1">IFERROR(__xludf.DUMMYFUNCTION("IMPORTRANGE(""https://docs.google.com/spreadsheets/d/1eHaY18a8A9IcSdp1K8H6x8fbOy06t2VsZHhMHf-1x7Y/edit?usp=sharing"",""แผน!BE41"")"),0)</f>
        <v>0</v>
      </c>
      <c r="M258" s="428"/>
      <c r="N258" s="672">
        <v>0</v>
      </c>
      <c r="O258" s="428"/>
      <c r="P258" s="428"/>
    </row>
    <row r="259" spans="1:16" ht="19.5" hidden="1" x14ac:dyDescent="0.3">
      <c r="A259" s="532"/>
      <c r="B259" s="430"/>
      <c r="C259" s="671" t="s">
        <v>16</v>
      </c>
      <c r="D259" s="530" t="s">
        <v>36</v>
      </c>
      <c r="E259" s="529"/>
      <c r="F259" s="529"/>
      <c r="G259" s="528"/>
      <c r="H259" s="527"/>
      <c r="I259" s="526"/>
      <c r="J259" s="427"/>
      <c r="K259" s="428"/>
      <c r="L259" s="428"/>
      <c r="M259" s="428"/>
      <c r="N259" s="428"/>
      <c r="O259" s="525"/>
      <c r="P259" s="525"/>
    </row>
    <row r="260" spans="1:16" ht="18.75" hidden="1" x14ac:dyDescent="0.25">
      <c r="A260" s="532"/>
      <c r="B260" s="430"/>
      <c r="C260" s="430"/>
      <c r="D260" s="524" t="s">
        <v>102</v>
      </c>
      <c r="E260" s="420"/>
      <c r="F260" s="420"/>
      <c r="G260" s="527"/>
      <c r="H260" s="668" t="s">
        <v>33</v>
      </c>
      <c r="I260" s="199">
        <f ca="1">IFERROR(__xludf.DUMMYFUNCTION("IMPORTRANGE(""https://docs.google.com/spreadsheets/d/1eHaY18a8A9IcSdp1K8H6x8fbOy06t2VsZHhMHf-1x7Y/edit?usp=sharing"",""แผน!BH41"")"),0)</f>
        <v>0</v>
      </c>
      <c r="J260" s="522">
        <v>0</v>
      </c>
      <c r="K260" s="521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2"/>
      <c r="B261" s="430"/>
      <c r="C261" s="430"/>
      <c r="D261" s="670" t="s">
        <v>41</v>
      </c>
      <c r="E261" s="420"/>
      <c r="F261" s="420"/>
      <c r="G261" s="527"/>
      <c r="H261" s="527"/>
      <c r="I261" s="427"/>
      <c r="J261" s="427"/>
      <c r="K261" s="428"/>
      <c r="L261" s="428"/>
      <c r="M261" s="428"/>
      <c r="N261" s="428"/>
      <c r="O261" s="525"/>
      <c r="P261" s="525"/>
    </row>
    <row r="262" spans="1:16" ht="18.75" hidden="1" x14ac:dyDescent="0.25">
      <c r="A262" s="532"/>
      <c r="B262" s="430"/>
      <c r="C262" s="430"/>
      <c r="D262" s="430"/>
      <c r="E262" s="669" t="s">
        <v>103</v>
      </c>
      <c r="F262" s="420"/>
      <c r="G262" s="527"/>
      <c r="H262" s="668" t="s">
        <v>33</v>
      </c>
      <c r="I262" s="427"/>
      <c r="J262" s="522">
        <v>0</v>
      </c>
      <c r="K262" s="521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2"/>
      <c r="B263" s="430"/>
      <c r="C263" s="430"/>
      <c r="D263" s="430"/>
      <c r="E263" s="669" t="s">
        <v>104</v>
      </c>
      <c r="F263" s="420"/>
      <c r="G263" s="527"/>
      <c r="H263" s="668" t="s">
        <v>54</v>
      </c>
      <c r="I263" s="427"/>
      <c r="J263" s="522">
        <v>0</v>
      </c>
      <c r="K263" s="521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IFERROR(__xludf.DUMMYFUNCTION("IMPORTRANGE(""https://docs.google.com/spreadsheets/d/1-uDff_7J0KD5mKrp0Vvzr7lt3OU09vwQwhkpOPPYv2Y/edit?usp=sharing"",""งบพรบ!DE41"")"),0)</f>
        <v>0</v>
      </c>
      <c r="M271" s="521">
        <f ca="1">IFERROR(__xludf.DUMMYFUNCTION("IMPORTRANGE(""https://docs.google.com/spreadsheets/d/1-uDff_7J0KD5mKrp0Vvzr7lt3OU09vwQwhkpOPPYv2Y/edit?usp=sharing"",""งบพรบ!DJ41"")"),0)</f>
        <v>0</v>
      </c>
      <c r="N271" s="521">
        <f ca="1">IFERROR(__xludf.DUMMYFUNCTION("IMPORTRANGE(""https://docs.google.com/spreadsheets/d/1-uDff_7J0KD5mKrp0Vvzr7lt3OU09vwQwhkpOPPYv2Y/edit?usp=sharing"",""งบพรบ!DL41"")"),0)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IFERROR(__xludf.DUMMYFUNCTION("IMPORTRANGE(""https://docs.google.com/spreadsheets/d/1-uDff_7J0KD5mKrp0Vvzr7lt3OU09vwQwhkpOPPYv2Y/edit?usp=sharing"",""งบพรบ!DH41"")"),0)</f>
        <v>0</v>
      </c>
      <c r="M274" s="521">
        <f ca="1">IFERROR(__xludf.DUMMYFUNCTION("IMPORTRANGE(""https://docs.google.com/spreadsheets/d/1-uDff_7J0KD5mKrp0Vvzr7lt3OU09vwQwhkpOPPYv2Y/edit?usp=sharing"",""งบพรบ!DK41"")"),0)</f>
        <v>0</v>
      </c>
      <c r="N274" s="521">
        <f ca="1">IFERROR(__xludf.DUMMYFUNCTION("IMPORTRANGE(""https://docs.google.com/spreadsheets/d/1-uDff_7J0KD5mKrp0Vvzr7lt3OU09vwQwhkpOPPYv2Y/edit?usp=sharing"",""งบพรบ!DM41"")"),0)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hidden="1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hidden="1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hidden="1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0</v>
      </c>
      <c r="J280" s="629">
        <f>J293</f>
        <v>0</v>
      </c>
      <c r="K280" s="628">
        <f ca="1">IF(I280&gt;0,J280*100/I280,0)</f>
        <v>0</v>
      </c>
      <c r="L280" s="627"/>
      <c r="M280" s="627"/>
      <c r="N280" s="627"/>
      <c r="O280" s="627"/>
      <c r="P280" s="627"/>
    </row>
    <row r="281" spans="1:16" ht="19.5" hidden="1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0</v>
      </c>
      <c r="J281" s="629">
        <f>J292</f>
        <v>0</v>
      </c>
      <c r="K281" s="628">
        <f ca="1">IF(I281&gt;0,J281*100/I281,0)</f>
        <v>0</v>
      </c>
      <c r="L281" s="627"/>
      <c r="M281" s="627"/>
      <c r="N281" s="627"/>
      <c r="O281" s="627"/>
      <c r="P281" s="627"/>
    </row>
    <row r="282" spans="1:16" ht="19.5" hidden="1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0</v>
      </c>
      <c r="M282" s="577">
        <f ca="1">M283+M284</f>
        <v>0</v>
      </c>
      <c r="N282" s="577">
        <f ca="1">N283+N284</f>
        <v>0</v>
      </c>
      <c r="O282" s="577">
        <f ca="1">IF(L282&gt;0,N282*100/L282,0)</f>
        <v>0</v>
      </c>
      <c r="P282" s="577">
        <f ca="1">IF(M282&gt;0,N282*100/M282,0)</f>
        <v>0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hidden="1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0</v>
      </c>
      <c r="M284" s="425">
        <f ca="1">M287+M290</f>
        <v>0</v>
      </c>
      <c r="N284" s="425">
        <f ca="1">N287+N290</f>
        <v>0</v>
      </c>
      <c r="O284" s="425">
        <f ca="1">IF(L284&gt;0,N284*100/L284,0)</f>
        <v>0</v>
      </c>
      <c r="P284" s="425">
        <f ca="1">IF(M284&gt;0,N284*100/M284,0)</f>
        <v>0</v>
      </c>
    </row>
    <row r="285" spans="1:16" ht="18.75" hidden="1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0</v>
      </c>
      <c r="M285" s="425">
        <f ca="1">M286+M287</f>
        <v>0</v>
      </c>
      <c r="N285" s="425">
        <f ca="1">N286+N287</f>
        <v>0</v>
      </c>
      <c r="O285" s="425">
        <f ca="1">IF(L285&gt;0,N285*100/L285,0)</f>
        <v>0</v>
      </c>
      <c r="P285" s="425">
        <f ca="1">IF(M285&gt;0,N285*100/M285,0)</f>
        <v>0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hidden="1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IFERROR(__xludf.DUMMYFUNCTION("IMPORTRANGE(""https://docs.google.com/spreadsheets/d/1-uDff_7J0KD5mKrp0Vvzr7lt3OU09vwQwhkpOPPYv2Y/edit?usp=sharing"",""งบพรบ!DO41"")"),0)</f>
        <v>0</v>
      </c>
      <c r="M287" s="425">
        <f ca="1">IFERROR(__xludf.DUMMYFUNCTION("IMPORTRANGE(""https://docs.google.com/spreadsheets/d/1-uDff_7J0KD5mKrp0Vvzr7lt3OU09vwQwhkpOPPYv2Y/edit?usp=sharing"",""งบพรบ!DT41"")"),0)</f>
        <v>0</v>
      </c>
      <c r="N287" s="425">
        <f ca="1">IFERROR(__xludf.DUMMYFUNCTION("IMPORTRANGE(""https://docs.google.com/spreadsheets/d/1-uDff_7J0KD5mKrp0Vvzr7lt3OU09vwQwhkpOPPYv2Y/edit?usp=sharing"",""งบพรบ!DV41"")"),0)</f>
        <v>0</v>
      </c>
      <c r="O287" s="425">
        <f ca="1">IF(L287&gt;0,N287*100/L287,0)</f>
        <v>0</v>
      </c>
      <c r="P287" s="425">
        <f ca="1">IF(M287&gt;0,N287*100/M287,0)</f>
        <v>0</v>
      </c>
    </row>
    <row r="288" spans="1:16" ht="18.75" hidden="1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hidden="1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IFERROR(__xludf.DUMMYFUNCTION("IMPORTRANGE(""https://docs.google.com/spreadsheets/d/1-uDff_7J0KD5mKrp0Vvzr7lt3OU09vwQwhkpOPPYv2Y/edit?usp=sharing"",""งบพรบ!DR41"")"),0)</f>
        <v>0</v>
      </c>
      <c r="M290" s="425">
        <f ca="1">IFERROR(__xludf.DUMMYFUNCTION("IMPORTRANGE(""https://docs.google.com/spreadsheets/d/1-uDff_7J0KD5mKrp0Vvzr7lt3OU09vwQwhkpOPPYv2Y/edit?usp=sharing"",""งบพรบ!DU41"")"),0)</f>
        <v>0</v>
      </c>
      <c r="N290" s="425">
        <f ca="1">IFERROR(__xludf.DUMMYFUNCTION("IMPORTRANGE(""https://docs.google.com/spreadsheets/d/1-uDff_7J0KD5mKrp0Vvzr7lt3OU09vwQwhkpOPPYv2Y/edit?usp=sharing"",""งบพรบ!DW41"")"),0)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hidden="1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hidden="1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IFERROR(__xludf.DUMMYFUNCTION("IMPORTRANGE(""https://docs.google.com/spreadsheets/d/1eHaY18a8A9IcSdp1K8H6x8fbOy06t2VsZHhMHf-1x7Y/edit?usp=sharing"",""แผน!EE41"")"),0)</f>
        <v>0</v>
      </c>
      <c r="J292" s="595">
        <v>0</v>
      </c>
      <c r="K292" s="621">
        <f ca="1">IF(I292&gt;0,J292*100/I292,0)</f>
        <v>0</v>
      </c>
      <c r="L292" s="525"/>
      <c r="M292" s="525"/>
      <c r="N292" s="525"/>
      <c r="O292" s="525"/>
      <c r="P292" s="525"/>
    </row>
    <row r="293" spans="1:16" ht="19.5" hidden="1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IFERROR(__xludf.DUMMYFUNCTION("IMPORTRANGE(""https://docs.google.com/spreadsheets/d/1eHaY18a8A9IcSdp1K8H6x8fbOy06t2VsZHhMHf-1x7Y/edit?usp=sharing"",""แผน!ED41"")"),0)</f>
        <v>0</v>
      </c>
      <c r="J293" s="625">
        <f>J296</f>
        <v>0</v>
      </c>
      <c r="K293" s="624">
        <f ca="1">IF(I293&gt;0,J293*100/I293,0)</f>
        <v>0</v>
      </c>
      <c r="L293" s="525"/>
      <c r="M293" s="525"/>
      <c r="N293" s="525"/>
      <c r="O293" s="525"/>
      <c r="P293" s="525"/>
    </row>
    <row r="294" spans="1:16" ht="19.5" hidden="1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hidden="1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IFERROR(__xludf.DUMMYFUNCTION("IMPORTRANGE(""https://docs.google.com/spreadsheets/d/1eHaY18a8A9IcSdp1K8H6x8fbOy06t2VsZHhMHf-1x7Y/edit?usp=sharing"",""แผน!ED41"")"),0)</f>
        <v>0</v>
      </c>
      <c r="J295" s="595">
        <v>0</v>
      </c>
      <c r="K295" s="621">
        <f ca="1">IF(I295&gt;0,J295*100/I295,0)</f>
        <v>0</v>
      </c>
      <c r="L295" s="525"/>
      <c r="M295" s="525"/>
      <c r="N295" s="525"/>
      <c r="O295" s="525"/>
      <c r="P295" s="525"/>
    </row>
    <row r="296" spans="1:16" ht="19.5" hidden="1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IFERROR(__xludf.DUMMYFUNCTION("IMPORTRANGE(""https://docs.google.com/spreadsheets/d/1eHaY18a8A9IcSdp1K8H6x8fbOy06t2VsZHhMHf-1x7Y/edit?usp=sharing"",""แผน!ED41"")"),0)</f>
        <v>0</v>
      </c>
      <c r="J296" s="595">
        <v>0</v>
      </c>
      <c r="K296" s="621">
        <f ca="1">IF(I296&gt;0,J296*100/I296,0)</f>
        <v>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hidden="1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hidden="1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hidden="1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0</v>
      </c>
      <c r="J302" s="598">
        <f>J314</f>
        <v>0</v>
      </c>
      <c r="K302" s="597">
        <f ca="1">IF(I302&gt;0,J302*100/I302,0)</f>
        <v>0</v>
      </c>
      <c r="L302" s="580"/>
      <c r="M302" s="580"/>
      <c r="N302" s="580"/>
      <c r="O302" s="580"/>
      <c r="P302" s="580"/>
    </row>
    <row r="303" spans="1:16" ht="19.5" hidden="1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0</v>
      </c>
      <c r="M303" s="577">
        <f ca="1">M304+M305</f>
        <v>0</v>
      </c>
      <c r="N303" s="577">
        <f ca="1">N304+N305</f>
        <v>0</v>
      </c>
      <c r="O303" s="577">
        <f ca="1">IF(L303&gt;0,N303*100/L303,0)</f>
        <v>0</v>
      </c>
      <c r="P303" s="577">
        <f ca="1">IF(M303&gt;0,N303*100/M303,0)</f>
        <v>0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hidden="1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0</v>
      </c>
      <c r="M305" s="425">
        <f ca="1">M308+M311</f>
        <v>0</v>
      </c>
      <c r="N305" s="425">
        <f ca="1">N308+N311</f>
        <v>0</v>
      </c>
      <c r="O305" s="425">
        <f ca="1">IF(L305&gt;0,N305*100/L305,0)</f>
        <v>0</v>
      </c>
      <c r="P305" s="425">
        <f ca="1">IF(M305&gt;0,N305*100/M305,0)</f>
        <v>0</v>
      </c>
    </row>
    <row r="306" spans="1:16" ht="18.75" hidden="1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0</v>
      </c>
      <c r="M306" s="425">
        <f ca="1">M307+M308</f>
        <v>0</v>
      </c>
      <c r="N306" s="425">
        <f ca="1">N307+N308</f>
        <v>0</v>
      </c>
      <c r="O306" s="425">
        <f ca="1">IF(L306&gt;0,N306*100/L306,0)</f>
        <v>0</v>
      </c>
      <c r="P306" s="425">
        <f ca="1">IF(M306&gt;0,N306*100/M306,0)</f>
        <v>0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hidden="1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IFERROR(__xludf.DUMMYFUNCTION("IMPORTRANGE(""https://docs.google.com/spreadsheets/d/1-uDff_7J0KD5mKrp0Vvzr7lt3OU09vwQwhkpOPPYv2Y/edit?usp=sharing"",""งบพรบ!DY41"")"),0)</f>
        <v>0</v>
      </c>
      <c r="M308" s="425">
        <f ca="1">IFERROR(__xludf.DUMMYFUNCTION("IMPORTRANGE(""https://docs.google.com/spreadsheets/d/1-uDff_7J0KD5mKrp0Vvzr7lt3OU09vwQwhkpOPPYv2Y/edit?usp=sharing"",""งบพรบ!ED41"")"),0)</f>
        <v>0</v>
      </c>
      <c r="N308" s="425">
        <f ca="1">IFERROR(__xludf.DUMMYFUNCTION("IMPORTRANGE(""https://docs.google.com/spreadsheets/d/1-uDff_7J0KD5mKrp0Vvzr7lt3OU09vwQwhkpOPPYv2Y/edit?usp=sharing"",""งบพรบ!EF41"")"),0)</f>
        <v>0</v>
      </c>
      <c r="O308" s="425">
        <f ca="1">IF(L308&gt;0,N308*100/L308,0)</f>
        <v>0</v>
      </c>
      <c r="P308" s="425">
        <f ca="1">IF(M308&gt;0,N308*100/M308,0)</f>
        <v>0</v>
      </c>
    </row>
    <row r="309" spans="1:16" ht="18.75" hidden="1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hidden="1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IFERROR(__xludf.DUMMYFUNCTION("IMPORTRANGE(""https://docs.google.com/spreadsheets/d/1-uDff_7J0KD5mKrp0Vvzr7lt3OU09vwQwhkpOPPYv2Y/edit?usp=sharing"",""งบพรบ!EB41"")"),0)</f>
        <v>0</v>
      </c>
      <c r="M311" s="425">
        <f ca="1">IFERROR(__xludf.DUMMYFUNCTION("IMPORTRANGE(""https://docs.google.com/spreadsheets/d/1-uDff_7J0KD5mKrp0Vvzr7lt3OU09vwQwhkpOPPYv2Y/edit?usp=sharing"",""งบพรบ!EE41"")"),0)</f>
        <v>0</v>
      </c>
      <c r="N311" s="425">
        <f ca="1">IFERROR(__xludf.DUMMYFUNCTION("IMPORTRANGE(""https://docs.google.com/spreadsheets/d/1-uDff_7J0KD5mKrp0Vvzr7lt3OU09vwQwhkpOPPYv2Y/edit?usp=sharing"",""งบพรบ!EG41"")"),0)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hidden="1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hidden="1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0</v>
      </c>
      <c r="K313" s="428"/>
      <c r="L313" s="428"/>
      <c r="M313" s="428"/>
      <c r="N313" s="428"/>
      <c r="O313" s="428"/>
      <c r="P313" s="428"/>
    </row>
    <row r="314" spans="1:16" ht="18.75" hidden="1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IFERROR(__xludf.DUMMYFUNCTION("IMPORTRANGE(""https://docs.google.com/spreadsheets/d/1eHaY18a8A9IcSdp1K8H6x8fbOy06t2VsZHhMHf-1x7Y/edit?usp=sharing"",""แผน!EF41"")"),0)</f>
        <v>0</v>
      </c>
      <c r="J314" s="595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hidden="1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IFERROR(__xludf.DUMMYFUNCTION("IMPORTRANGE(""https://docs.google.com/spreadsheets/d/1eHaY18a8A9IcSdp1K8H6x8fbOy06t2VsZHhMHf-1x7Y/edit?usp=sharing"",""แผน!EG41"")"),0)</f>
        <v>0</v>
      </c>
      <c r="J315" s="595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hidden="1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IFERROR(__xludf.DUMMYFUNCTION("IMPORTRANGE(""https://docs.google.com/spreadsheets/d/1eHaY18a8A9IcSdp1K8H6x8fbOy06t2VsZHhMHf-1x7Y/edit?usp=sharing"",""แผน!EH41"")"),0)</f>
        <v>0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199">
        <f ca="1">IFERROR(__xludf.DUMMYFUNCTION("IMPORTRANGE(""https://docs.google.com/spreadsheets/d/1eHaY18a8A9IcSdp1K8H6x8fbOy06t2VsZHhMHf-1x7Y/edit?usp=sharing"",""แผน!EI41"")"),0)</f>
        <v>0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hidden="1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0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hidden="1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0</v>
      </c>
      <c r="M320" s="577">
        <f ca="1">M321+M322</f>
        <v>0</v>
      </c>
      <c r="N320" s="577">
        <f ca="1">N321+N322</f>
        <v>0</v>
      </c>
      <c r="O320" s="577">
        <f ca="1">IF(L320&gt;0,N320*100/L320,0)</f>
        <v>0</v>
      </c>
      <c r="P320" s="577">
        <f ca="1">IF(M320&gt;0,N320*100/M320,0)</f>
        <v>0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hidden="1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hidden="1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IFERROR(__xludf.DUMMYFUNCTION("IMPORTRANGE(""https://docs.google.com/spreadsheets/d/1-uDff_7J0KD5mKrp0Vvzr7lt3OU09vwQwhkpOPPYv2Y/edit?usp=sharing"",""งบพรบ!EI41"")"),0)</f>
        <v>0</v>
      </c>
      <c r="M325" s="425">
        <f ca="1">IFERROR(__xludf.DUMMYFUNCTION("IMPORTRANGE(""https://docs.google.com/spreadsheets/d/1-uDff_7J0KD5mKrp0Vvzr7lt3OU09vwQwhkpOPPYv2Y/edit?usp=sharing"",""งบพรบ!EN41"")"),0)</f>
        <v>0</v>
      </c>
      <c r="N325" s="425">
        <f ca="1">IFERROR(__xludf.DUMMYFUNCTION("IMPORTRANGE(""https://docs.google.com/spreadsheets/d/1-uDff_7J0KD5mKrp0Vvzr7lt3OU09vwQwhkpOPPYv2Y/edit?usp=sharing"",""งบพรบ!EP41"")"),0)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hidden="1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IFERROR(__xludf.DUMMYFUNCTION("IMPORTRANGE(""https://docs.google.com/spreadsheets/d/1-uDff_7J0KD5mKrp0Vvzr7lt3OU09vwQwhkpOPPYv2Y/edit?usp=sharing"",""งบพรบ!EL41"")"),0)</f>
        <v>0</v>
      </c>
      <c r="M328" s="425">
        <f ca="1">IFERROR(__xludf.DUMMYFUNCTION("IMPORTRANGE(""https://docs.google.com/spreadsheets/d/1-uDff_7J0KD5mKrp0Vvzr7lt3OU09vwQwhkpOPPYv2Y/edit?usp=sharing"",""งบพรบ!EO41"")"),0)</f>
        <v>0</v>
      </c>
      <c r="N328" s="425">
        <f ca="1">IFERROR(__xludf.DUMMYFUNCTION("IMPORTRANGE(""https://docs.google.com/spreadsheets/d/1-uDff_7J0KD5mKrp0Vvzr7lt3OU09vwQwhkpOPPYv2Y/edit?usp=sharing"",""งบพรบ!EQ41"")"),0)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hidden="1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IFERROR(__xludf.DUMMYFUNCTION("IMPORTRANGE(""https://docs.google.com/spreadsheets/d/1eHaY18a8A9IcSdp1K8H6x8fbOy06t2VsZHhMHf-1x7Y/edit?usp=sharing"",""แผน!EJ41"")"),0)</f>
        <v>0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2140</v>
      </c>
      <c r="J332" s="402">
        <f ca="1">J344+J347+J348+J349+J353</f>
        <v>2304</v>
      </c>
      <c r="K332" s="403">
        <f ca="1">IF(I332&gt;0,J332*100/I332,0)</f>
        <v>107.66355140186916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215200</v>
      </c>
      <c r="M333" s="577">
        <f ca="1">M334+M335</f>
        <v>161150</v>
      </c>
      <c r="N333" s="577">
        <f ca="1">N334+N335</f>
        <v>31603</v>
      </c>
      <c r="O333" s="577">
        <f ca="1">IF(L333&gt;0,N333*100/L333,0)</f>
        <v>14.685408921933085</v>
      </c>
      <c r="P333" s="577">
        <f ca="1">IF(M333&gt;0,N333*100/M333,0)</f>
        <v>19.610921501706486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215200</v>
      </c>
      <c r="M335" s="425">
        <f ca="1">M338+M341</f>
        <v>161150</v>
      </c>
      <c r="N335" s="425">
        <f ca="1">N338+N341</f>
        <v>31603</v>
      </c>
      <c r="O335" s="425">
        <f ca="1">IF(L335&gt;0,N335*100/L335,0)</f>
        <v>14.685408921933085</v>
      </c>
      <c r="P335" s="425">
        <f ca="1">IF(M335&gt;0,N335*100/M335,0)</f>
        <v>19.610921501706486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215200</v>
      </c>
      <c r="M336" s="425">
        <f ca="1">M337+M338</f>
        <v>161150</v>
      </c>
      <c r="N336" s="425">
        <f ca="1">N337+N338</f>
        <v>31603</v>
      </c>
      <c r="O336" s="425">
        <f ca="1">IF(L336&gt;0,N336*100/L336,0)</f>
        <v>14.685408921933085</v>
      </c>
      <c r="P336" s="425">
        <f ca="1">IF(M336&gt;0,N336*100/M336,0)</f>
        <v>19.610921501706486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IFERROR(__xludf.DUMMYFUNCTION("IMPORTRANGE(""https://docs.google.com/spreadsheets/d/1-uDff_7J0KD5mKrp0Vvzr7lt3OU09vwQwhkpOPPYv2Y/edit?usp=sharing"",""งบพรบ!ES41"")"),215200)</f>
        <v>215200</v>
      </c>
      <c r="M338" s="425">
        <f ca="1">IFERROR(__xludf.DUMMYFUNCTION("IMPORTRANGE(""https://docs.google.com/spreadsheets/d/1-uDff_7J0KD5mKrp0Vvzr7lt3OU09vwQwhkpOPPYv2Y/edit?usp=sharing"",""งบพรบ!EX41"")"),161150)</f>
        <v>161150</v>
      </c>
      <c r="N338" s="425">
        <f ca="1">IFERROR(__xludf.DUMMYFUNCTION("IMPORTRANGE(""https://docs.google.com/spreadsheets/d/1-uDff_7J0KD5mKrp0Vvzr7lt3OU09vwQwhkpOPPYv2Y/edit?usp=sharing"",""งบพรบ!EZ41"")"),31603)</f>
        <v>31603</v>
      </c>
      <c r="O338" s="425">
        <f ca="1">IF(L338&gt;0,N338*100/L338,0)</f>
        <v>14.685408921933085</v>
      </c>
      <c r="P338" s="425">
        <f ca="1">IF(M338&gt;0,N338*100/M338,0)</f>
        <v>19.610921501706486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IFERROR(__xludf.DUMMYFUNCTION("IMPORTRANGE(""https://docs.google.com/spreadsheets/d/1-uDff_7J0KD5mKrp0Vvzr7lt3OU09vwQwhkpOPPYv2Y/edit?usp=sharing"",""งบพรบ!EV41"")"),0)</f>
        <v>0</v>
      </c>
      <c r="M341" s="425">
        <f ca="1">IFERROR(__xludf.DUMMYFUNCTION("IMPORTRANGE(""https://docs.google.com/spreadsheets/d/1-uDff_7J0KD5mKrp0Vvzr7lt3OU09vwQwhkpOPPYv2Y/edit?usp=sharing"",""งบพรบ!EY41"")"),0)</f>
        <v>0</v>
      </c>
      <c r="N341" s="425">
        <f ca="1">IFERROR(__xludf.DUMMYFUNCTION("IMPORTRANGE(""https://docs.google.com/spreadsheets/d/1-uDff_7J0KD5mKrp0Vvzr7lt3OU09vwQwhkpOPPYv2Y/edit?usp=sharing"",""งบพรบ!FA41"")"),0)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1369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IFERROR(__xludf.DUMMYFUNCTION("IMPORTRANGE(""https://docs.google.com/spreadsheets/d/1eHaY18a8A9IcSdp1K8H6x8fbOy06t2VsZHhMHf-1x7Y/edit?usp=sharing"",""แผน!EK41"")"),2140)</f>
        <v>2140</v>
      </c>
      <c r="J344" s="424">
        <f ca="1">IFERROR(__xludf.DUMMYFUNCTION("IMPORTRANGE(""https://docs.google.com/spreadsheets/d/1awYsYK3VOup2i3Pq_Yjnu8DRu_mYwSBnCR2QPthd0rU/edit?usp=sharing"",""ศูนย์ยกเว้นโฉนด!D41"")"),1252)</f>
        <v>1252</v>
      </c>
      <c r="K344" s="425">
        <f ca="1">IF(I344&gt;0,J344*100/I344,0)</f>
        <v>58.504672897196265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IFERROR(__xludf.DUMMYFUNCTION("IMPORTRANGE(""https://docs.google.com/spreadsheets/d/1eHaY18a8A9IcSdp1K8H6x8fbOy06t2VsZHhMHf-1x7Y/edit?usp=sharing"",""แผน!EL41"")"),5)</f>
        <v>5</v>
      </c>
      <c r="J346" s="424">
        <f ca="1">IFERROR(__xludf.DUMMYFUNCTION("IMPORTRANGE(""https://docs.google.com/spreadsheets/d/1awYsYK3VOup2i3Pq_Yjnu8DRu_mYwSBnCR2QPthd0rU/edit?usp=sharing"",""ศูนย์รวม!E41"")"),9)</f>
        <v>9</v>
      </c>
      <c r="K346" s="425">
        <f ca="1">IF(I346&gt;0,J346*100/I346,0)</f>
        <v>180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IFERROR(__xludf.DUMMYFUNCTION("IMPORTRANGE(""https://docs.google.com/spreadsheets/d/1awYsYK3VOup2i3Pq_Yjnu8DRu_mYwSBnCR2QPthd0rU/edit?usp=sharing"",""ศูนย์ยกเว้นโฉนด!F41"")"),115)</f>
        <v>115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IFERROR(__xludf.DUMMYFUNCTION("IMPORTRANGE(""https://docs.google.com/spreadsheets/d/1awYsYK3VOup2i3Pq_Yjnu8DRu_mYwSBnCR2QPthd0rU/edit?usp=sharing"",""ศูนย์ยกเว้นโฉนด!G41"")"),2)</f>
        <v>2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IFERROR(__xludf.DUMMYFUNCTION("IMPORTRANGE(""https://docs.google.com/spreadsheets/d/1awYsYK3VOup2i3Pq_Yjnu8DRu_mYwSBnCR2QPthd0rU/edit?usp=sharing"",""ศูนย์ยกเว้นโฉนด!H41"")"),0)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1810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IFERROR(__xludf.DUMMYFUNCTION("IMPORTRANGE(""https://docs.google.com/spreadsheets/d/1awYsYK3VOup2i3Pq_Yjnu8DRu_mYwSBnCR2QPthd0rU/edit?usp=sharing"",""โฉนดM3!G41"")"),875)</f>
        <v>875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IFERROR(__xludf.DUMMYFUNCTION("IMPORTRANGE(""https://docs.google.com/spreadsheets/d/1awYsYK3VOup2i3Pq_Yjnu8DRu_mYwSBnCR2QPthd0rU/edit?usp=sharing"",""โฉนดM3!H41"")"),935)</f>
        <v>935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350375</v>
      </c>
      <c r="M356" s="577">
        <f ca="1">M357+M358</f>
        <v>324375</v>
      </c>
      <c r="N356" s="577">
        <f ca="1">N357+N358</f>
        <v>33833</v>
      </c>
      <c r="O356" s="577">
        <f ca="1">IF(L356&gt;0,N356*100/L356,0)</f>
        <v>9.6562254727078134</v>
      </c>
      <c r="P356" s="577">
        <f ca="1">IF(M356&gt;0,N356*100/M356,0)</f>
        <v>10.430211946050097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350375</v>
      </c>
      <c r="M358" s="425">
        <f ca="1">M361+M364</f>
        <v>324375</v>
      </c>
      <c r="N358" s="425">
        <f ca="1">N361+N364</f>
        <v>33833</v>
      </c>
      <c r="O358" s="425">
        <f ca="1">IF(L358&gt;0,N358*100/L358,0)</f>
        <v>9.6562254727078134</v>
      </c>
      <c r="P358" s="425">
        <f ca="1">IF(M358&gt;0,N358*100/M358,0)</f>
        <v>10.430211946050097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350375</v>
      </c>
      <c r="M359" s="425">
        <f ca="1">M360+M361</f>
        <v>324375</v>
      </c>
      <c r="N359" s="425">
        <f ca="1">N360+N361</f>
        <v>33833</v>
      </c>
      <c r="O359" s="425">
        <f ca="1">IF(L359&gt;0,N359*100/L359,0)</f>
        <v>9.6562254727078134</v>
      </c>
      <c r="P359" s="425">
        <f ca="1">IF(M359&gt;0,N359*100/M359,0)</f>
        <v>10.430211946050097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IFERROR(__xludf.DUMMYFUNCTION("IMPORTRANGE(""https://docs.google.com/spreadsheets/d/1-uDff_7J0KD5mKrp0Vvzr7lt3OU09vwQwhkpOPPYv2Y/edit?usp=sharing"",""งบพรบ!FC41"")"),350375)</f>
        <v>350375</v>
      </c>
      <c r="M361" s="425">
        <f ca="1">IFERROR(__xludf.DUMMYFUNCTION("IMPORTRANGE(""https://docs.google.com/spreadsheets/d/1-uDff_7J0KD5mKrp0Vvzr7lt3OU09vwQwhkpOPPYv2Y/edit?usp=sharing"",""งบพรบ!FH41"")"),324375)</f>
        <v>324375</v>
      </c>
      <c r="N361" s="425">
        <f ca="1">IFERROR(__xludf.DUMMYFUNCTION("IMPORTRANGE(""https://docs.google.com/spreadsheets/d/1-uDff_7J0KD5mKrp0Vvzr7lt3OU09vwQwhkpOPPYv2Y/edit?usp=sharing"",""งบพรบ!FJ41"")"),33833)</f>
        <v>33833</v>
      </c>
      <c r="O361" s="425">
        <f ca="1">IF(L361&gt;0,N361*100/L361,0)</f>
        <v>9.6562254727078134</v>
      </c>
      <c r="P361" s="425">
        <f ca="1">IF(M361&gt;0,N361*100/M361,0)</f>
        <v>10.430211946050097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IFERROR(__xludf.DUMMYFUNCTION("IMPORTRANGE(""https://docs.google.com/spreadsheets/d/1-uDff_7J0KD5mKrp0Vvzr7lt3OU09vwQwhkpOPPYv2Y/edit?usp=sharing"",""งบพรบ!FF41"")"),0)</f>
        <v>0</v>
      </c>
      <c r="M364" s="425">
        <f ca="1">IFERROR(__xludf.DUMMYFUNCTION("IMPORTRANGE(""https://docs.google.com/spreadsheets/d/1-uDff_7J0KD5mKrp0Vvzr7lt3OU09vwQwhkpOPPYv2Y/edit?usp=sharing"",""งบพรบ!FI41"")"),0)</f>
        <v>0</v>
      </c>
      <c r="N364" s="425">
        <f ca="1">IFERROR(__xludf.DUMMYFUNCTION("IMPORTRANGE(""https://docs.google.com/spreadsheets/d/1-uDff_7J0KD5mKrp0Vvzr7lt3OU09vwQwhkpOPPYv2Y/edit?usp=sharing"",""งบพรบ!FK41"")"),0)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260</v>
      </c>
      <c r="J365" s="438">
        <f ca="1">J371</f>
        <v>3</v>
      </c>
      <c r="K365" s="439">
        <f ca="1">IF(I365&gt;0,J365*100/I365,0)</f>
        <v>1.1538461538461537</v>
      </c>
      <c r="L365" s="571"/>
      <c r="M365" s="571"/>
      <c r="N365" s="571"/>
      <c r="O365" s="571"/>
      <c r="P365" s="571"/>
    </row>
    <row r="366" spans="1:16" ht="19.5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IFERROR(__xludf.DUMMYFUNCTION("IMPORTRANGE(""https://docs.google.com/spreadsheets/d/1tdoBKaGub7dwA3U6UFTqxio9LNnvDCQjHKmttSEBsFQ/edit?usp=sharing"",""จัดที่ดิน!AB41"")"),9)</f>
        <v>9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IFERROR(__xludf.DUMMYFUNCTION("IMPORTRANGE(""https://docs.google.com/spreadsheets/d/1eHaY18a8A9IcSdp1K8H6x8fbOy06t2VsZHhMHf-1x7Y/edit?usp=sharing"",""แผน!EW41"")"),2235)</f>
        <v>2235</v>
      </c>
      <c r="J368" s="565">
        <f ca="1">IFERROR(__xludf.DUMMYFUNCTION("IMPORTRANGE(""https://docs.google.com/spreadsheets/d/1tdoBKaGub7dwA3U6UFTqxio9LNnvDCQjHKmttSEBsFQ/edit?usp=sharing"",""จัดที่ดิน!AC41"")"),43.32)</f>
        <v>43.32</v>
      </c>
      <c r="K368" s="425">
        <f ca="1">IF(I368&gt;0,J368*100/I368,0)</f>
        <v>1.938255033557047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IFERROR(__xludf.DUMMYFUNCTION("IMPORTRANGE(""https://docs.google.com/spreadsheets/d/1eHaY18a8A9IcSdp1K8H6x8fbOy06t2VsZHhMHf-1x7Y/edit?usp=sharing"",""แผน!EX41"")"),402)</f>
        <v>402</v>
      </c>
      <c r="J369" s="424">
        <f ca="1">IFERROR(__xludf.DUMMYFUNCTION("IMPORTRANGE(""https://docs.google.com/spreadsheets/d/1tdoBKaGub7dwA3U6UFTqxio9LNnvDCQjHKmttSEBsFQ/edit?usp=sharing"",""จัดที่ดิน!AD41"")"),11)</f>
        <v>11</v>
      </c>
      <c r="K369" s="425">
        <f ca="1">IF(I369&gt;0,J369*100/I369,0)</f>
        <v>2.7363184079601992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IFERROR(__xludf.DUMMYFUNCTION("IMPORTRANGE(""https://docs.google.com/spreadsheets/d/1tdoBKaGub7dwA3U6UFTqxio9LNnvDCQjHKmttSEBsFQ/edit?usp=sharing"",""จัดที่ดิน!AE41"")"),78.05)</f>
        <v>78.05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IFERROR(__xludf.DUMMYFUNCTION("IMPORTRANGE(""https://docs.google.com/spreadsheets/d/1eHaY18a8A9IcSdp1K8H6x8fbOy06t2VsZHhMHf-1x7Y/edit?usp=sharing"",""แผน!EY41"")"),260)</f>
        <v>260</v>
      </c>
      <c r="J371" s="424">
        <f ca="1">IFERROR(__xludf.DUMMYFUNCTION("IMPORTRANGE(""https://docs.google.com/spreadsheets/d/1tdoBKaGub7dwA3U6UFTqxio9LNnvDCQjHKmttSEBsFQ/edit?usp=sharing"",""จัดที่ดิน!AF41"")"),3)</f>
        <v>3</v>
      </c>
      <c r="K371" s="425">
        <f ca="1">IF(I371&gt;0,J371*100/I371,0)</f>
        <v>1.1538461538461537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IFERROR(__xludf.DUMMYFUNCTION("IMPORTRANGE(""https://docs.google.com/spreadsheets/d/1tdoBKaGub7dwA3U6UFTqxio9LNnvDCQjHKmttSEBsFQ/edit?usp=sharing"",""จัดที่ดิน!AG41"")"),34.92)</f>
        <v>34.92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IFERROR(__xludf.DUMMYFUNCTION("IMPORTRANGE(""https://docs.google.com/spreadsheets/d/1-uDff_7J0KD5mKrp0Vvzr7lt3OU09vwQwhkpOPPYv2Y/edit?usp=sharing"",""งบพรบ!FM41"")"),0)</f>
        <v>0</v>
      </c>
      <c r="M382" s="521">
        <f ca="1">IFERROR(__xludf.DUMMYFUNCTION("IMPORTRANGE(""https://docs.google.com/spreadsheets/d/1-uDff_7J0KD5mKrp0Vvzr7lt3OU09vwQwhkpOPPYv2Y/edit?usp=sharing"",""งบพรบ!FR41"")"),0)</f>
        <v>0</v>
      </c>
      <c r="N382" s="521">
        <f ca="1">IFERROR(__xludf.DUMMYFUNCTION("IMPORTRANGE(""https://docs.google.com/spreadsheets/d/1-uDff_7J0KD5mKrp0Vvzr7lt3OU09vwQwhkpOPPYv2Y/edit?usp=sharing"",""งบพรบ!FT41"")"),0)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IFERROR(__xludf.DUMMYFUNCTION("IMPORTRANGE(""https://docs.google.com/spreadsheets/d/1-uDff_7J0KD5mKrp0Vvzr7lt3OU09vwQwhkpOPPYv2Y/edit?usp=sharing"",""งบพรบ!FP41"")"),0)</f>
        <v>0</v>
      </c>
      <c r="M385" s="521">
        <f ca="1">IFERROR(__xludf.DUMMYFUNCTION("IMPORTRANGE(""https://docs.google.com/spreadsheets/d/1-uDff_7J0KD5mKrp0Vvzr7lt3OU09vwQwhkpOPPYv2Y/edit?usp=sharing"",""งบพรบ!FS41"")"),0)</f>
        <v>0</v>
      </c>
      <c r="N385" s="521">
        <f ca="1">IFERROR(__xludf.DUMMYFUNCTION("IMPORTRANGE(""https://docs.google.com/spreadsheets/d/1-uDff_7J0KD5mKrp0Vvzr7lt3OU09vwQwhkpOPPYv2Y/edit?usp=sharing"",""งบพรบ!FU41"")"),0)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24B06-B2B3-4214-866A-EBD4C6CE68DB}">
  <sheetPr>
    <outlinePr summaryBelow="0" summaryRight="0"/>
    <pageSetUpPr fitToPage="1"/>
  </sheetPr>
  <dimension ref="A1:P391"/>
  <sheetViews>
    <sheetView view="pageBreakPreview" zoomScale="60" zoomScaleNormal="70" workbookViewId="0">
      <pane xSplit="8" ySplit="17" topLeftCell="I47" activePane="bottomRight" state="frozen"/>
      <selection activeCell="H27" sqref="H27"/>
      <selection pane="topRight" activeCell="H27" sqref="H27"/>
      <selection pane="bottomLeft" activeCell="H27" sqref="H27"/>
      <selection pane="bottomRight" activeCell="H27" sqref="H27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5.140625" customWidth="1"/>
    <col min="11" max="11" width="10.8554687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869" t="s">
        <v>0</v>
      </c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  <c r="O1" s="869"/>
      <c r="P1" s="869"/>
    </row>
    <row r="2" spans="1:16" ht="19.5" x14ac:dyDescent="0.3">
      <c r="A2" s="869" t="s">
        <v>170</v>
      </c>
      <c r="B2" s="869"/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  <c r="P2" s="869"/>
    </row>
    <row r="3" spans="1:16" ht="19.5" x14ac:dyDescent="0.3">
      <c r="A3" s="869"/>
      <c r="B3" s="869"/>
      <c r="C3" s="869"/>
      <c r="D3" s="869"/>
      <c r="E3" s="869"/>
      <c r="F3" s="869"/>
      <c r="G3" s="869"/>
      <c r="H3" s="869"/>
      <c r="I3" s="869"/>
      <c r="J3" s="869"/>
      <c r="K3" s="869"/>
      <c r="L3" s="869"/>
      <c r="M3" s="869"/>
      <c r="N3" s="869"/>
      <c r="O3" s="869"/>
      <c r="P3" s="869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5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493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2633459</v>
      </c>
      <c r="M18" s="704">
        <f ca="1">M19+M20</f>
        <v>2229797</v>
      </c>
      <c r="N18" s="704">
        <f ca="1">N19+N20</f>
        <v>797332.01</v>
      </c>
      <c r="O18" s="704">
        <f ca="1">IF(L18&gt;0,N18*100/L18,0)</f>
        <v>30.276985895736367</v>
      </c>
      <c r="P18" s="704">
        <f ca="1">IF(M18&gt;0,N18*100/M18,0)</f>
        <v>35.758053760050799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2633459</v>
      </c>
      <c r="M20" s="817">
        <f ca="1">M23+M26</f>
        <v>2229797</v>
      </c>
      <c r="N20" s="817">
        <f ca="1">N23+N26</f>
        <v>797332.01</v>
      </c>
      <c r="O20" s="817">
        <f ca="1">IF(L20&gt;0,N20*100/L20,0)</f>
        <v>30.276985895736367</v>
      </c>
      <c r="P20" s="817">
        <f ca="1">IF(M20&gt;0,N20*100/M20,0)</f>
        <v>35.758053760050799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2633459</v>
      </c>
      <c r="M21" s="425">
        <f ca="1">M22+M23</f>
        <v>2229797</v>
      </c>
      <c r="N21" s="425">
        <f ca="1">N22+N23</f>
        <v>797332.01</v>
      </c>
      <c r="O21" s="425">
        <f ca="1">IF(L21&gt;0,N21*100/L21,0)</f>
        <v>30.276985895736367</v>
      </c>
      <c r="P21" s="425">
        <f ca="1">IF(M21&gt;0,N21*100/M21,0)</f>
        <v>35.758053760050799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2633459</v>
      </c>
      <c r="M23" s="425">
        <f ca="1">M49+M64+M77+M99+M130+M144+M162+M191+M178+M271+M287+M308+M325+M338+M361+M382</f>
        <v>2229797</v>
      </c>
      <c r="N23" s="425">
        <f ca="1">N49+N64+N77+N99+N130+N144+N162+N191+N178+N271+N287+N308+N325+N338+N361+N382</f>
        <v>797332.01</v>
      </c>
      <c r="O23" s="425">
        <f ca="1">IF(L23&gt;0,N23*100/L23,0)</f>
        <v>30.276985895736367</v>
      </c>
      <c r="P23" s="425">
        <f ca="1">IF(M23&gt;0,N23*100/M23,0)</f>
        <v>35.758053760050799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2.75" hidden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2633459</v>
      </c>
      <c r="M40" s="809">
        <f ca="1">M44+M59+M72+M94+M125+M139+M157+M173+M186+M266+M282+M303+M320+M333+M356</f>
        <v>2229797</v>
      </c>
      <c r="N40" s="809">
        <f ca="1">N44+N59+N72+N94+N125+N139+N157+N173+N186+N266+N282+N303+N320+N333+N356</f>
        <v>797332.01</v>
      </c>
      <c r="O40" s="809">
        <f ca="1">IF(L40&gt;0,N40*100/L40,0)</f>
        <v>30.276985895736367</v>
      </c>
      <c r="P40" s="809">
        <f ca="1">IF(M40&gt;0,N40*100/M40,0)</f>
        <v>35.758053760050799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625704</v>
      </c>
      <c r="M44" s="794">
        <f ca="1">M45+M46</f>
        <v>634782</v>
      </c>
      <c r="N44" s="794">
        <f ca="1">N45+N46</f>
        <v>234891</v>
      </c>
      <c r="O44" s="794">
        <f ca="1">IF(L44&gt;0,N44*100/L44,0)</f>
        <v>37.540274634651531</v>
      </c>
      <c r="P44" s="794">
        <f ca="1">IF(M44&gt;0,N44*100/M44,0)</f>
        <v>37.003412195052789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625704</v>
      </c>
      <c r="M46" s="783">
        <f ca="1">M49+M52</f>
        <v>634782</v>
      </c>
      <c r="N46" s="783">
        <f ca="1">N49+N52</f>
        <v>234891</v>
      </c>
      <c r="O46" s="783">
        <f ca="1">IF(L46&gt;0,N46*100/L46,0)</f>
        <v>37.540274634651531</v>
      </c>
      <c r="P46" s="783">
        <f ca="1">IF(M46&gt;0,N46*100/M46,0)</f>
        <v>37.003412195052789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625704</v>
      </c>
      <c r="M47" s="425">
        <f ca="1">M48+M49</f>
        <v>634782</v>
      </c>
      <c r="N47" s="425">
        <f ca="1">N48+N49</f>
        <v>234891</v>
      </c>
      <c r="O47" s="425">
        <f ca="1">IF(L47&gt;0,N47*100/L47,0)</f>
        <v>37.540274634651531</v>
      </c>
      <c r="P47" s="425">
        <f ca="1">IF(M47&gt;0,N47*100/M47,0)</f>
        <v>37.003412195052789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IFERROR(__xludf.DUMMYFUNCTION("IMPORTRANGE(""https://docs.google.com/spreadsheets/d/1-uDff_7J0KD5mKrp0Vvzr7lt3OU09vwQwhkpOPPYv2Y/edit?usp=sharing"",""งบพรบ!P42"")"),625704)</f>
        <v>625704</v>
      </c>
      <c r="M49" s="425">
        <f ca="1">IFERROR(__xludf.DUMMYFUNCTION("IMPORTRANGE(""https://docs.google.com/spreadsheets/d/1-uDff_7J0KD5mKrp0Vvzr7lt3OU09vwQwhkpOPPYv2Y/edit?usp=sharing"",""งบพรบ!V42"")"),634782)</f>
        <v>634782</v>
      </c>
      <c r="N49" s="425">
        <f ca="1">IFERROR(__xludf.DUMMYFUNCTION("IMPORTRANGE(""https://docs.google.com/spreadsheets/d/1-uDff_7J0KD5mKrp0Vvzr7lt3OU09vwQwhkpOPPYv2Y/edit?usp=sharing"",""งบพรบ!Y42"")"),234891)</f>
        <v>234891</v>
      </c>
      <c r="O49" s="425">
        <f ca="1">IF(L49&gt;0,N49*100/L49,0)</f>
        <v>37.540274634651531</v>
      </c>
      <c r="P49" s="425">
        <f ca="1">IF(M49&gt;0,N49*100/M49,0)</f>
        <v>37.003412195052789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IFERROR(__xludf.DUMMYFUNCTION("IMPORTRANGE(""https://docs.google.com/spreadsheets/d/1-uDff_7J0KD5mKrp0Vvzr7lt3OU09vwQwhkpOPPYv2Y/edit?usp=sharing"",""งบพรบ!S42"")"),0)</f>
        <v>0</v>
      </c>
      <c r="M52" s="425">
        <f ca="1">IFERROR(__xludf.DUMMYFUNCTION("IMPORTRANGE(""https://docs.google.com/spreadsheets/d/1-uDff_7J0KD5mKrp0Vvzr7lt3OU09vwQwhkpOPPYv2Y/edit?usp=sharing"",""งบพรบ!W42"")"),0)</f>
        <v>0</v>
      </c>
      <c r="N52" s="425">
        <f ca="1">IFERROR(__xludf.DUMMYFUNCTION("IMPORTRANGE(""https://docs.google.com/spreadsheets/d/1-uDff_7J0KD5mKrp0Vvzr7lt3OU09vwQwhkpOPPYv2Y/edit?usp=sharing"",""งบพรบ!Z42"")"),0)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612100</v>
      </c>
      <c r="M59" s="763">
        <f ca="1">M60+M61</f>
        <v>461350</v>
      </c>
      <c r="N59" s="763">
        <f ca="1">N60+N61</f>
        <v>288104.52</v>
      </c>
      <c r="O59" s="763">
        <f ca="1">IF(L59&gt;0,N59*100/L59,0)</f>
        <v>47.068211076621466</v>
      </c>
      <c r="P59" s="763">
        <f ca="1">IF(M59&gt;0,N59*100/M59,0)</f>
        <v>62.448145659477618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612100</v>
      </c>
      <c r="M61" s="752">
        <f ca="1">M64+M67</f>
        <v>461350</v>
      </c>
      <c r="N61" s="752">
        <f ca="1">N64+N67</f>
        <v>288104.52</v>
      </c>
      <c r="O61" s="752">
        <f ca="1">IF(L61&gt;0,N61*100/L61,0)</f>
        <v>47.068211076621466</v>
      </c>
      <c r="P61" s="752">
        <f ca="1">IF(M61&gt;0,N61*100/M61,0)</f>
        <v>62.448145659477618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612100</v>
      </c>
      <c r="M62" s="425">
        <f ca="1">M63+M64</f>
        <v>461350</v>
      </c>
      <c r="N62" s="425">
        <f ca="1">N63+N64</f>
        <v>288104.52</v>
      </c>
      <c r="O62" s="425">
        <f ca="1">IF(L62&gt;0,N62*100/L62,0)</f>
        <v>47.068211076621466</v>
      </c>
      <c r="P62" s="425">
        <f ca="1">IF(M62&gt;0,N62*100/M62,0)</f>
        <v>62.448145659477618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IFERROR(__xludf.DUMMYFUNCTION("IMPORTRANGE(""https://docs.google.com/spreadsheets/d/1-uDff_7J0KD5mKrp0Vvzr7lt3OU09vwQwhkpOPPYv2Y/edit?usp=sharing"",""งบพรบ!AC42"")"),612100)</f>
        <v>612100</v>
      </c>
      <c r="M64" s="425">
        <f ca="1">IFERROR(__xludf.DUMMYFUNCTION("IMPORTRANGE(""https://docs.google.com/spreadsheets/d/1-uDff_7J0KD5mKrp0Vvzr7lt3OU09vwQwhkpOPPYv2Y/edit?usp=sharing"",""งบพรบ!AH42"")"),461350)</f>
        <v>461350</v>
      </c>
      <c r="N64" s="425">
        <f ca="1">IFERROR(__xludf.DUMMYFUNCTION("IMPORTRANGE(""https://docs.google.com/spreadsheets/d/1-uDff_7J0KD5mKrp0Vvzr7lt3OU09vwQwhkpOPPYv2Y/edit?usp=sharing"",""งบพรบ!AJ42"")"),288104.52)</f>
        <v>288104.52</v>
      </c>
      <c r="O64" s="425">
        <f ca="1">IF(L64&gt;0,N64*100/L64,0)</f>
        <v>47.068211076621466</v>
      </c>
      <c r="P64" s="425">
        <f ca="1">IF(M64&gt;0,N64*100/M64,0)</f>
        <v>62.448145659477618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IFERROR(__xludf.DUMMYFUNCTION("IMPORTRANGE(""https://docs.google.com/spreadsheets/d/1-uDff_7J0KD5mKrp0Vvzr7lt3OU09vwQwhkpOPPYv2Y/edit?usp=sharing"",""งบพรบ!AF42"")"),0)</f>
        <v>0</v>
      </c>
      <c r="M67" s="747">
        <f ca="1">IFERROR(__xludf.DUMMYFUNCTION("IMPORTRANGE(""https://docs.google.com/spreadsheets/d/1-uDff_7J0KD5mKrp0Vvzr7lt3OU09vwQwhkpOPPYv2Y/edit?usp=sharing"",""งบพรบ!AI42"")"),0)</f>
        <v>0</v>
      </c>
      <c r="N67" s="747">
        <f ca="1">IFERROR(__xludf.DUMMYFUNCTION("IMPORTRANGE(""https://docs.google.com/spreadsheets/d/1-uDff_7J0KD5mKrp0Vvzr7lt3OU09vwQwhkpOPPYv2Y/edit?usp=sharing"",""งบพรบ!AK42"")"),0)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19.5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hidden="1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hidden="1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0</v>
      </c>
      <c r="J70" s="705">
        <f>J82</f>
        <v>0</v>
      </c>
      <c r="K70" s="704">
        <f ca="1">IF(I70&gt;0,J70*100/I70,0)</f>
        <v>0</v>
      </c>
      <c r="L70" s="703"/>
      <c r="M70" s="703"/>
      <c r="N70" s="703"/>
      <c r="O70" s="703"/>
      <c r="P70" s="703"/>
    </row>
    <row r="71" spans="1:16" ht="19.5" hidden="1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0</v>
      </c>
      <c r="J71" s="705">
        <f>J83</f>
        <v>0</v>
      </c>
      <c r="K71" s="704">
        <f ca="1">IF(I71&gt;0,J71*100/I71,0)</f>
        <v>0</v>
      </c>
      <c r="L71" s="703"/>
      <c r="M71" s="703"/>
      <c r="N71" s="703"/>
      <c r="O71" s="703"/>
      <c r="P71" s="703"/>
    </row>
    <row r="72" spans="1:16" ht="19.5" hidden="1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0</v>
      </c>
      <c r="M72" s="577">
        <f ca="1">M73+M74</f>
        <v>0</v>
      </c>
      <c r="N72" s="577">
        <f ca="1">N73+N74</f>
        <v>0</v>
      </c>
      <c r="O72" s="577">
        <f ca="1">IF(L72&gt;0,N72*100/L72,0)</f>
        <v>0</v>
      </c>
      <c r="P72" s="577">
        <f ca="1">IF(M72&gt;0,N72*100/M72,0)</f>
        <v>0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hidden="1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hidden="1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IFERROR(__xludf.DUMMYFUNCTION("IMPORTRANGE(""https://docs.google.com/spreadsheets/d/1-uDff_7J0KD5mKrp0Vvzr7lt3OU09vwQwhkpOPPYv2Y/edit?usp=sharing"",""งบพรบ!AM42"")"),0)</f>
        <v>0</v>
      </c>
      <c r="M77" s="425">
        <f ca="1">IFERROR(__xludf.DUMMYFUNCTION("IMPORTRANGE(""https://docs.google.com/spreadsheets/d/1-uDff_7J0KD5mKrp0Vvzr7lt3OU09vwQwhkpOPPYv2Y/edit?usp=sharing"",""งบพรบ!AR42"")"),0)</f>
        <v>0</v>
      </c>
      <c r="N77" s="425">
        <f ca="1">IFERROR(__xludf.DUMMYFUNCTION("IMPORTRANGE(""https://docs.google.com/spreadsheets/d/1-uDff_7J0KD5mKrp0Vvzr7lt3OU09vwQwhkpOPPYv2Y/edit?usp=sharing"",""งบพรบ!AT42"")"),0)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hidden="1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IFERROR(__xludf.DUMMYFUNCTION("IMPORTRANGE(""https://docs.google.com/spreadsheets/d/1-uDff_7J0KD5mKrp0Vvzr7lt3OU09vwQwhkpOPPYv2Y/edit?usp=sharing"",""งบพรบ!AP42"")"),0)</f>
        <v>0</v>
      </c>
      <c r="M80" s="425">
        <f ca="1">IFERROR(__xludf.DUMMYFUNCTION("IMPORTRANGE(""https://docs.google.com/spreadsheets/d/1-uDff_7J0KD5mKrp0Vvzr7lt3OU09vwQwhkpOPPYv2Y/edit?usp=sharing"",""งบพรบ!AS42"")"),0)</f>
        <v>0</v>
      </c>
      <c r="N80" s="425">
        <f ca="1">IFERROR(__xludf.DUMMYFUNCTION("IMPORTRANGE(""https://docs.google.com/spreadsheets/d/1-uDff_7J0KD5mKrp0Vvzr7lt3OU09vwQwhkpOPPYv2Y/edit?usp=sharing"",""งบพรบ!AU42"")"),0)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hidden="1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0</v>
      </c>
      <c r="J82" s="625">
        <f>J84+J86+J88</f>
        <v>0</v>
      </c>
      <c r="K82" s="624">
        <f ca="1">IF(I82&gt;0,J82*100/I82,0)</f>
        <v>0</v>
      </c>
      <c r="L82" s="525"/>
      <c r="M82" s="525"/>
      <c r="N82" s="525"/>
      <c r="O82" s="525"/>
      <c r="P82" s="525"/>
    </row>
    <row r="83" spans="1:16" ht="19.5" hidden="1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0</v>
      </c>
      <c r="J83" s="625">
        <f>J85+J87+J89</f>
        <v>0</v>
      </c>
      <c r="K83" s="624">
        <f ca="1">IF(I83&gt;0,J83*100/I83,0)</f>
        <v>0</v>
      </c>
      <c r="L83" s="525"/>
      <c r="M83" s="525"/>
      <c r="N83" s="525"/>
      <c r="O83" s="525"/>
      <c r="P83" s="525"/>
    </row>
    <row r="84" spans="1:16" ht="18.75" hidden="1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IFERROR(__xludf.DUMMYFUNCTION("IMPORTRANGE(""https://docs.google.com/spreadsheets/d/1eHaY18a8A9IcSdp1K8H6x8fbOy06t2VsZHhMHf-1x7Y/edit?usp=sharing"",""แผน!H42"")"),0)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hidden="1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IFERROR(__xludf.DUMMYFUNCTION("IMPORTRANGE(""https://docs.google.com/spreadsheets/d/1eHaY18a8A9IcSdp1K8H6x8fbOy06t2VsZHhMHf-1x7Y/edit?usp=sharing"",""แผน!I42"")"),0)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hidden="1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IFERROR(__xludf.DUMMYFUNCTION("IMPORTRANGE(""https://docs.google.com/spreadsheets/d/1eHaY18a8A9IcSdp1K8H6x8fbOy06t2VsZHhMHf-1x7Y/edit?usp=sharing"",""แผน!F42"")"),0)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hidden="1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IFERROR(__xludf.DUMMYFUNCTION("IMPORTRANGE(""https://docs.google.com/spreadsheets/d/1eHaY18a8A9IcSdp1K8H6x8fbOy06t2VsZHhMHf-1x7Y/edit?usp=sharing"",""แผน!G42"")"),0)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hidden="1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IFERROR(__xludf.DUMMYFUNCTION("IMPORTRANGE(""https://docs.google.com/spreadsheets/d/1eHaY18a8A9IcSdp1K8H6x8fbOy06t2VsZHhMHf-1x7Y/edit?usp=sharing"",""แผน!D42"")"),0)</f>
        <v>0</v>
      </c>
      <c r="J88" s="595">
        <v>0</v>
      </c>
      <c r="K88" s="621">
        <f ca="1">IF(I88&gt;0,J88*100/I88,0)</f>
        <v>0</v>
      </c>
      <c r="L88" s="525"/>
      <c r="M88" s="525"/>
      <c r="N88" s="525"/>
      <c r="O88" s="525"/>
      <c r="P88" s="525"/>
    </row>
    <row r="89" spans="1:16" ht="18.75" hidden="1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IFERROR(__xludf.DUMMYFUNCTION("IMPORTRANGE(""https://docs.google.com/spreadsheets/d/1eHaY18a8A9IcSdp1K8H6x8fbOy06t2VsZHhMHf-1x7Y/edit?usp=sharing"",""แผน!E42"")"),0)</f>
        <v>0</v>
      </c>
      <c r="J89" s="595">
        <v>0</v>
      </c>
      <c r="K89" s="621">
        <f ca="1">IF(I89&gt;0,J89*100/I89,0)</f>
        <v>0</v>
      </c>
      <c r="L89" s="525"/>
      <c r="M89" s="525"/>
      <c r="N89" s="525"/>
      <c r="O89" s="525"/>
      <c r="P89" s="525"/>
    </row>
    <row r="90" spans="1:16" ht="18.75" hidden="1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IFERROR(__xludf.DUMMYFUNCTION("IMPORTRANGE(""https://docs.google.com/spreadsheets/d/1eHaY18a8A9IcSdp1K8H6x8fbOy06t2VsZHhMHf-1x7Y/edit?usp=sharing"",""แผน!J42"")"),0)</f>
        <v>0</v>
      </c>
      <c r="J90" s="595">
        <v>0</v>
      </c>
      <c r="K90" s="621">
        <f ca="1">IF(I90&gt;0,J90*100/I90,0)</f>
        <v>0</v>
      </c>
      <c r="L90" s="525"/>
      <c r="M90" s="525"/>
      <c r="N90" s="525"/>
      <c r="O90" s="525"/>
      <c r="P90" s="525"/>
    </row>
    <row r="91" spans="1:16" ht="19.5" hidden="1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hidden="1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0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hidden="1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0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hidden="1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0</v>
      </c>
      <c r="M94" s="577">
        <f ca="1">M95+M96</f>
        <v>0</v>
      </c>
      <c r="N94" s="577">
        <f ca="1">N95+N96</f>
        <v>0</v>
      </c>
      <c r="O94" s="577">
        <f ca="1">IF(L94&gt;0,N94*100/L94,0)</f>
        <v>0</v>
      </c>
      <c r="P94" s="577">
        <f ca="1">IF(M94&gt;0,N94*100/M94,0)</f>
        <v>0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hidden="1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hidden="1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IFERROR(__xludf.DUMMYFUNCTION("IMPORTRANGE(""https://docs.google.com/spreadsheets/d/1-uDff_7J0KD5mKrp0Vvzr7lt3OU09vwQwhkpOPPYv2Y/edit?usp=sharing"",""งบพรบ!AW42"")"),0)</f>
        <v>0</v>
      </c>
      <c r="M99" s="425">
        <f ca="1">IFERROR(__xludf.DUMMYFUNCTION("IMPORTRANGE(""https://docs.google.com/spreadsheets/d/1-uDff_7J0KD5mKrp0Vvzr7lt3OU09vwQwhkpOPPYv2Y/edit?usp=sharing"",""งบพรบ!BB42"")"),0)</f>
        <v>0</v>
      </c>
      <c r="N99" s="425">
        <f ca="1">IFERROR(__xludf.DUMMYFUNCTION("IMPORTRANGE(""https://docs.google.com/spreadsheets/d/1-uDff_7J0KD5mKrp0Vvzr7lt3OU09vwQwhkpOPPYv2Y/edit?usp=sharing"",""งบพรบ!BD42"")"),0)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hidden="1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IFERROR(__xludf.DUMMYFUNCTION("IMPORTRANGE(""https://docs.google.com/spreadsheets/d/1-uDff_7J0KD5mKrp0Vvzr7lt3OU09vwQwhkpOPPYv2Y/edit?usp=sharing"",""งบพรบ!AZ42"")"),0)</f>
        <v>0</v>
      </c>
      <c r="M102" s="425">
        <f ca="1">IFERROR(__xludf.DUMMYFUNCTION("IMPORTRANGE(""https://docs.google.com/spreadsheets/d/1-uDff_7J0KD5mKrp0Vvzr7lt3OU09vwQwhkpOPPYv2Y/edit?usp=sharing"",""งบพรบ!BC42"")"),0)</f>
        <v>0</v>
      </c>
      <c r="N102" s="425">
        <f ca="1">IFERROR(__xludf.DUMMYFUNCTION("IMPORTRANGE(""https://docs.google.com/spreadsheets/d/1-uDff_7J0KD5mKrp0Vvzr7lt3OU09vwQwhkpOPPYv2Y/edit?usp=sharing"",""งบพรบ!BE42"")"),0)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hidden="1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hidden="1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IFERROR(__xludf.DUMMYFUNCTION("IMPORTRANGE(""https://docs.google.com/spreadsheets/d/1eHaY18a8A9IcSdp1K8H6x8fbOy06t2VsZHhMHf-1x7Y/edit?usp=sharing"",""แผน!N42"")"),0)</f>
        <v>0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hidden="1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IFERROR(__xludf.DUMMYFUNCTION("IMPORTRANGE(""https://docs.google.com/spreadsheets/d/1eHaY18a8A9IcSdp1K8H6x8fbOy06t2VsZHhMHf-1x7Y/edit?usp=sharing"",""แผน!O42"")"),0)</f>
        <v>0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hidden="1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IFERROR(__xludf.DUMMYFUNCTION("IMPORTRANGE(""https://docs.google.com/spreadsheets/d/1eHaY18a8A9IcSdp1K8H6x8fbOy06t2VsZHhMHf-1x7Y/edit?usp=sharing"",""แผน!R42"")"),0)</f>
        <v>0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IFERROR(__xludf.DUMMYFUNCTION("IMPORTRANGE(""https://docs.google.com/spreadsheets/d/1-uDff_7J0KD5mKrp0Vvzr7lt3OU09vwQwhkpOPPYv2Y/edit?usp=sharing"",""งบพรบ!BG42"")"),0)</f>
        <v>0</v>
      </c>
      <c r="M130" s="723">
        <f ca="1">IFERROR(__xludf.DUMMYFUNCTION("IMPORTRANGE(""https://docs.google.com/spreadsheets/d/1-uDff_7J0KD5mKrp0Vvzr7lt3OU09vwQwhkpOPPYv2Y/edit?usp=sharing"",""งบพรบ!BL42"")"),0)</f>
        <v>0</v>
      </c>
      <c r="N130" s="723">
        <f ca="1">IFERROR(__xludf.DUMMYFUNCTION("IMPORTRANGE(""https://docs.google.com/spreadsheets/d/1-uDff_7J0KD5mKrp0Vvzr7lt3OU09vwQwhkpOPPYv2Y/edit?usp=sharing"",""งบพรบ!BN42"")"),0)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IFERROR(__xludf.DUMMYFUNCTION("IMPORTRANGE(""https://docs.google.com/spreadsheets/d/1-uDff_7J0KD5mKrp0Vvzr7lt3OU09vwQwhkpOPPYv2Y/edit?usp=sharing"",""งบพรบ!BJ42"")"),0)</f>
        <v>0</v>
      </c>
      <c r="M133" s="723">
        <f ca="1">IFERROR(__xludf.DUMMYFUNCTION("IMPORTRANGE(""https://docs.google.com/spreadsheets/d/1-uDff_7J0KD5mKrp0Vvzr7lt3OU09vwQwhkpOPPYv2Y/edit?usp=sharing"",""งบพรบ!BM42"")"),0)</f>
        <v>0</v>
      </c>
      <c r="N133" s="723">
        <f ca="1">IFERROR(__xludf.DUMMYFUNCTION("IMPORTRANGE(""https://docs.google.com/spreadsheets/d/1-uDff_7J0KD5mKrp0Vvzr7lt3OU09vwQwhkpOPPYv2Y/edit?usp=sharing"",""งบพรบ!BO42"")"),0)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hidden="1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hidden="1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hidden="1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0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hidden="1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0</v>
      </c>
      <c r="J137" s="705">
        <f>J152</f>
        <v>0</v>
      </c>
      <c r="K137" s="704">
        <f ca="1">IF(I137&gt;0,J137*100/I137,0)</f>
        <v>0</v>
      </c>
      <c r="L137" s="703"/>
      <c r="M137" s="703"/>
      <c r="N137" s="703"/>
      <c r="O137" s="703"/>
      <c r="P137" s="703"/>
    </row>
    <row r="138" spans="1:16" ht="19.5" hidden="1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0</v>
      </c>
      <c r="J138" s="705">
        <f>J153</f>
        <v>0</v>
      </c>
      <c r="K138" s="704">
        <f ca="1">IF(I138&gt;0,J138*100/I138,0)</f>
        <v>0</v>
      </c>
      <c r="L138" s="703"/>
      <c r="M138" s="703"/>
      <c r="N138" s="703"/>
      <c r="O138" s="703"/>
      <c r="P138" s="703"/>
    </row>
    <row r="139" spans="1:16" ht="19.5" hidden="1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0</v>
      </c>
      <c r="M139" s="577">
        <f ca="1">M140+M141</f>
        <v>0</v>
      </c>
      <c r="N139" s="577">
        <f ca="1">N140+N141</f>
        <v>0</v>
      </c>
      <c r="O139" s="577">
        <f ca="1">IF(L139&gt;0,N139*100/L139,0)</f>
        <v>0</v>
      </c>
      <c r="P139" s="577">
        <f ca="1">IF(M139&gt;0,N139*100/M139,0)</f>
        <v>0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hidden="1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0</v>
      </c>
      <c r="M141" s="425">
        <f ca="1">M144+M147</f>
        <v>0</v>
      </c>
      <c r="N141" s="425">
        <f ca="1">N144+N147</f>
        <v>0</v>
      </c>
      <c r="O141" s="425">
        <f ca="1">IF(L141&gt;0,N141*100/L141,0)</f>
        <v>0</v>
      </c>
      <c r="P141" s="425">
        <f ca="1">IF(M141&gt;0,N141*100/M141,0)</f>
        <v>0</v>
      </c>
    </row>
    <row r="142" spans="1:16" ht="18.75" hidden="1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0</v>
      </c>
      <c r="M142" s="425">
        <f ca="1">M143+M144</f>
        <v>0</v>
      </c>
      <c r="N142" s="425">
        <f ca="1">N143+N144</f>
        <v>0</v>
      </c>
      <c r="O142" s="425">
        <f ca="1">IF(L142&gt;0,N142*100/L142,0)</f>
        <v>0</v>
      </c>
      <c r="P142" s="425">
        <f ca="1">IF(M142&gt;0,N142*100/M142,0)</f>
        <v>0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hidden="1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IFERROR(__xludf.DUMMYFUNCTION("IMPORTRANGE(""https://docs.google.com/spreadsheets/d/1-uDff_7J0KD5mKrp0Vvzr7lt3OU09vwQwhkpOPPYv2Y/edit?usp=sharing"",""งบพรบ!BQ42"")"),0)</f>
        <v>0</v>
      </c>
      <c r="M144" s="425">
        <f ca="1">IFERROR(__xludf.DUMMYFUNCTION("IMPORTRANGE(""https://docs.google.com/spreadsheets/d/1-uDff_7J0KD5mKrp0Vvzr7lt3OU09vwQwhkpOPPYv2Y/edit?usp=sharing"",""งบพรบ!BV42"")"),0)</f>
        <v>0</v>
      </c>
      <c r="N144" s="425">
        <f ca="1">IFERROR(__xludf.DUMMYFUNCTION("IMPORTRANGE(""https://docs.google.com/spreadsheets/d/1-uDff_7J0KD5mKrp0Vvzr7lt3OU09vwQwhkpOPPYv2Y/edit?usp=sharing"",""งบพรบ!BX42"")"),0)</f>
        <v>0</v>
      </c>
      <c r="O144" s="425">
        <f ca="1">IF(L144&gt;0,N144*100/L144,0)</f>
        <v>0</v>
      </c>
      <c r="P144" s="425">
        <f ca="1">IF(M144&gt;0,N144*100/M144,0)</f>
        <v>0</v>
      </c>
    </row>
    <row r="145" spans="1:16" ht="18.75" hidden="1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hidden="1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IFERROR(__xludf.DUMMYFUNCTION("IMPORTRANGE(""https://docs.google.com/spreadsheets/d/1-uDff_7J0KD5mKrp0Vvzr7lt3OU09vwQwhkpOPPYv2Y/edit?usp=sharing"",""งบพรบ!BT42"")"),0)</f>
        <v>0</v>
      </c>
      <c r="M147" s="425">
        <f ca="1">IFERROR(__xludf.DUMMYFUNCTION("IMPORTRANGE(""https://docs.google.com/spreadsheets/d/1-uDff_7J0KD5mKrp0Vvzr7lt3OU09vwQwhkpOPPYv2Y/edit?usp=sharing"",""งบพรบ!BW42"")"),0)</f>
        <v>0</v>
      </c>
      <c r="N147" s="425">
        <f ca="1">IFERROR(__xludf.DUMMYFUNCTION("IMPORTRANGE(""https://docs.google.com/spreadsheets/d/1-uDff_7J0KD5mKrp0Vvzr7lt3OU09vwQwhkpOPPYv2Y/edit?usp=sharing"",""งบพรบ!BY42"")"),0)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hidden="1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hidden="1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hidden="1" x14ac:dyDescent="0.3">
      <c r="A150" s="535"/>
      <c r="B150" s="418"/>
      <c r="C150" s="418"/>
      <c r="D150" s="420"/>
      <c r="E150" s="570" t="s">
        <v>159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IFERROR(__xludf.DUMMYFUNCTION("IMPORTRANGE(""https://docs.google.com/spreadsheets/d/1eHaY18a8A9IcSdp1K8H6x8fbOy06t2VsZHhMHf-1x7Y/edit?usp=sharing"",""แผน!U42"")"),0)</f>
        <v>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hidden="1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IFERROR(__xludf.DUMMYFUNCTION("IMPORTRANGE(""https://docs.google.com/spreadsheets/d/1eHaY18a8A9IcSdp1K8H6x8fbOy06t2VsZHhMHf-1x7Y/edit?usp=sharing"",""แผน!V42"")"),0)</f>
        <v>0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hidden="1" x14ac:dyDescent="0.3">
      <c r="A152" s="535"/>
      <c r="B152" s="418"/>
      <c r="C152" s="418"/>
      <c r="D152" s="420"/>
      <c r="E152" s="570" t="s">
        <v>158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IFERROR(__xludf.DUMMYFUNCTION("IMPORTRANGE(""https://docs.google.com/spreadsheets/d/1eHaY18a8A9IcSdp1K8H6x8fbOy06t2VsZHhMHf-1x7Y/edit?usp=sharing"",""แผน!W42"")"),0)</f>
        <v>0</v>
      </c>
      <c r="J152" s="595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hidden="1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IFERROR(__xludf.DUMMYFUNCTION("IMPORTRANGE(""https://docs.google.com/spreadsheets/d/1eHaY18a8A9IcSdp1K8H6x8fbOy06t2VsZHhMHf-1x7Y/edit?usp=sharing"",""แผน!X42"")"),0)</f>
        <v>0</v>
      </c>
      <c r="J153" s="595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hidden="1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IFERROR(__xludf.DUMMYFUNCTION("IMPORTRANGE(""https://docs.google.com/spreadsheets/d/1eHaY18a8A9IcSdp1K8H6x8fbOy06t2VsZHhMHf-1x7Y/edit?usp=sharing"",""แผน!Y42"")"),0)</f>
        <v>0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I167</f>
        <v>15</v>
      </c>
      <c r="J156" s="705">
        <f>J167</f>
        <v>0</v>
      </c>
      <c r="K156" s="704">
        <f ca="1">IF(I156&gt;0,J156*100/I156,0)</f>
        <v>0</v>
      </c>
      <c r="L156" s="703"/>
      <c r="M156" s="703"/>
      <c r="N156" s="703"/>
      <c r="O156" s="703"/>
      <c r="P156" s="703"/>
    </row>
    <row r="157" spans="1:16" ht="19.5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4500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4500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4500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IFERROR(__xludf.DUMMYFUNCTION("IMPORTRANGE(""https://docs.google.com/spreadsheets/d/1-uDff_7J0KD5mKrp0Vvzr7lt3OU09vwQwhkpOPPYv2Y/edit?usp=sharing"",""งบพรบ!CA42"")"),4500)</f>
        <v>4500</v>
      </c>
      <c r="M162" s="425">
        <f ca="1">IFERROR(__xludf.DUMMYFUNCTION("IMPORTRANGE(""https://docs.google.com/spreadsheets/d/1-uDff_7J0KD5mKrp0Vvzr7lt3OU09vwQwhkpOPPYv2Y/edit?usp=sharing"",""งบพรบ!CF42"")"),0)</f>
        <v>0</v>
      </c>
      <c r="N162" s="425">
        <f ca="1">IFERROR(__xludf.DUMMYFUNCTION("IMPORTRANGE(""https://docs.google.com/spreadsheets/d/1-uDff_7J0KD5mKrp0Vvzr7lt3OU09vwQwhkpOPPYv2Y/edit?usp=sharing"",""งบพรบ!CH42"")"),0)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IFERROR(__xludf.DUMMYFUNCTION("IMPORTRANGE(""https://docs.google.com/spreadsheets/d/1-uDff_7J0KD5mKrp0Vvzr7lt3OU09vwQwhkpOPPYv2Y/edit?usp=sharing"",""งบพรบ!CD42"")"),0)</f>
        <v>0</v>
      </c>
      <c r="M165" s="425">
        <f ca="1">IFERROR(__xludf.DUMMYFUNCTION("IMPORTRANGE(""https://docs.google.com/spreadsheets/d/1-uDff_7J0KD5mKrp0Vvzr7lt3OU09vwQwhkpOPPYv2Y/edit?usp=sharing"",""งบพรบ!CG42"")"),0)</f>
        <v>0</v>
      </c>
      <c r="N165" s="425">
        <f ca="1">IFERROR(__xludf.DUMMYFUNCTION("IMPORTRANGE(""https://docs.google.com/spreadsheets/d/1-uDff_7J0KD5mKrp0Vvzr7lt3OU09vwQwhkpOPPYv2Y/edit?usp=sharing"",""งบพรบ!CI42"")"),0)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IFERROR(__xludf.DUMMYFUNCTION("IMPORTRANGE(""https://docs.google.com/spreadsheets/d/1eHaY18a8A9IcSdp1K8H6x8fbOy06t2VsZHhMHf-1x7Y/edit?usp=sharing"",""แผน!Z42"")"),15)</f>
        <v>15</v>
      </c>
      <c r="J167" s="595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I167</f>
        <v>15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I167</f>
        <v>15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7</v>
      </c>
      <c r="J172" s="688">
        <f>J183+J184</f>
        <v>0</v>
      </c>
      <c r="K172" s="687">
        <f ca="1">IF(I172&gt;0,J172*100/I172,0)</f>
        <v>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19590</v>
      </c>
      <c r="M173" s="577">
        <f ca="1">M174+M175</f>
        <v>19590</v>
      </c>
      <c r="N173" s="577">
        <f ca="1">N174+N175</f>
        <v>0</v>
      </c>
      <c r="O173" s="577">
        <f ca="1">IF(L173&gt;0,N173*100/L173,0)</f>
        <v>0</v>
      </c>
      <c r="P173" s="577">
        <f ca="1">IF(M173&gt;0,N173*100/M173,0)</f>
        <v>0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19590</v>
      </c>
      <c r="N175" s="425">
        <f ca="1">N178+N181</f>
        <v>0</v>
      </c>
      <c r="O175" s="425">
        <f ca="1">IF(L175&gt;0,N175*100/L175,0)</f>
        <v>0</v>
      </c>
      <c r="P175" s="425">
        <f ca="1">IF(M175&gt;0,N175*100/M175,0)</f>
        <v>0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19590</v>
      </c>
      <c r="M176" s="425">
        <f ca="1">M177+M178</f>
        <v>19590</v>
      </c>
      <c r="N176" s="425">
        <f ca="1">N177+N178</f>
        <v>0</v>
      </c>
      <c r="O176" s="425">
        <f ca="1">IF(L176&gt;0,N176*100/L176,0)</f>
        <v>0</v>
      </c>
      <c r="P176" s="425">
        <f ca="1">IF(M176&gt;0,N176*100/M176,0)</f>
        <v>0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IFERROR(__xludf.DUMMYFUNCTION("IMPORTRANGE(""https://docs.google.com/spreadsheets/d/1-uDff_7J0KD5mKrp0Vvzr7lt3OU09vwQwhkpOPPYv2Y/edit?usp=sharing"",""งบพรบ!CK42"")"),19590)</f>
        <v>19590</v>
      </c>
      <c r="M178" s="425">
        <f ca="1">IFERROR(__xludf.DUMMYFUNCTION("IMPORTRANGE(""https://docs.google.com/spreadsheets/d/1-uDff_7J0KD5mKrp0Vvzr7lt3OU09vwQwhkpOPPYv2Y/edit?usp=sharing"",""งบพรบ!CP42"")"),19590)</f>
        <v>19590</v>
      </c>
      <c r="N178" s="425">
        <f ca="1">IFERROR(__xludf.DUMMYFUNCTION("IMPORTRANGE(""https://docs.google.com/spreadsheets/d/1-uDff_7J0KD5mKrp0Vvzr7lt3OU09vwQwhkpOPPYv2Y/edit?usp=sharing"",""งบพรบ!CR42"")"),0)</f>
        <v>0</v>
      </c>
      <c r="O178" s="425">
        <f ca="1">IF(L178&gt;0,N178*100/L178,0)</f>
        <v>0</v>
      </c>
      <c r="P178" s="425">
        <f ca="1">IF(M178&gt;0,N178*100/M178,0)</f>
        <v>0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IFERROR(__xludf.DUMMYFUNCTION("IMPORTRANGE(""https://docs.google.com/spreadsheets/d/1-uDff_7J0KD5mKrp0Vvzr7lt3OU09vwQwhkpOPPYv2Y/edit?usp=sharing"",""งบพรบ!CN42"")"),0)</f>
        <v>0</v>
      </c>
      <c r="M181" s="425">
        <f ca="1">IFERROR(__xludf.DUMMYFUNCTION("IMPORTRANGE(""https://docs.google.com/spreadsheets/d/1-uDff_7J0KD5mKrp0Vvzr7lt3OU09vwQwhkpOPPYv2Y/edit?usp=sharing"",""งบพรบ!CQ42"")"),0)</f>
        <v>0</v>
      </c>
      <c r="N181" s="425">
        <f ca="1">IFERROR(__xludf.DUMMYFUNCTION("IMPORTRANGE(""https://docs.google.com/spreadsheets/d/1-uDff_7J0KD5mKrp0Vvzr7lt3OU09vwQwhkpOPPYv2Y/edit?usp=sharing"",""งบพรบ!CS42"")"),0)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IFERROR(__xludf.DUMMYFUNCTION("IMPORTRANGE(""https://docs.google.com/spreadsheets/d/1eHaY18a8A9IcSdp1K8H6x8fbOy06t2VsZHhMHf-1x7Y/edit?usp=sharing"",""แผน!AA42"")"),7)</f>
        <v>7</v>
      </c>
      <c r="J183" s="595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0</v>
      </c>
      <c r="J185" s="688">
        <f>J230+J231</f>
        <v>0</v>
      </c>
      <c r="K185" s="687">
        <f ca="1">IF(I185&gt;0,J185*100/I185,0)</f>
        <v>0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42500</v>
      </c>
      <c r="M186" s="577">
        <f ca="1">M187+M188</f>
        <v>22500</v>
      </c>
      <c r="N186" s="577">
        <f ca="1">N187+N188</f>
        <v>6368</v>
      </c>
      <c r="O186" s="577">
        <f ca="1">IF(L186&gt;0,N186*100/L186,0)</f>
        <v>14.983529411764707</v>
      </c>
      <c r="P186" s="577">
        <f ca="1">IF(M186&gt;0,N186*100/M186,0)</f>
        <v>28.302222222222223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42500</v>
      </c>
      <c r="M188" s="425">
        <f ca="1">M191+M194</f>
        <v>22500</v>
      </c>
      <c r="N188" s="425">
        <f ca="1">N191+N194</f>
        <v>6368</v>
      </c>
      <c r="O188" s="425">
        <f ca="1">IF(L188&gt;0,N188*100/L188,0)</f>
        <v>14.983529411764707</v>
      </c>
      <c r="P188" s="425">
        <f ca="1">IF(M188&gt;0,N188*100/M188,0)</f>
        <v>28.302222222222223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42500</v>
      </c>
      <c r="M189" s="425">
        <f ca="1">M190+M191</f>
        <v>22500</v>
      </c>
      <c r="N189" s="425">
        <f ca="1">N190+N191</f>
        <v>6368</v>
      </c>
      <c r="O189" s="425">
        <f ca="1">IF(L189&gt;0,N189*100/L189,0)</f>
        <v>14.983529411764707</v>
      </c>
      <c r="P189" s="425">
        <f ca="1">IF(M189&gt;0,N189*100/M189,0)</f>
        <v>28.302222222222223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IFERROR(__xludf.DUMMYFUNCTION("IMPORTRANGE(""https://docs.google.com/spreadsheets/d/1-uDff_7J0KD5mKrp0Vvzr7lt3OU09vwQwhkpOPPYv2Y/edit?usp=sharing"",""งบพรบ!CU42"")"),42500)</f>
        <v>42500</v>
      </c>
      <c r="M191" s="425">
        <f ca="1">IFERROR(__xludf.DUMMYFUNCTION("IMPORTRANGE(""https://docs.google.com/spreadsheets/d/1-uDff_7J0KD5mKrp0Vvzr7lt3OU09vwQwhkpOPPYv2Y/edit?usp=sharing"",""งบพรบ!CZ42"")"),22500)</f>
        <v>22500</v>
      </c>
      <c r="N191" s="425">
        <f ca="1">IFERROR(__xludf.DUMMYFUNCTION("IMPORTRANGE(""https://docs.google.com/spreadsheets/d/1-uDff_7J0KD5mKrp0Vvzr7lt3OU09vwQwhkpOPPYv2Y/edit?usp=sharing"",""งบพรบ!DB42"")"),6368)</f>
        <v>6368</v>
      </c>
      <c r="O191" s="425">
        <f ca="1">IF(L191&gt;0,N191*100/L191,0)</f>
        <v>14.983529411764707</v>
      </c>
      <c r="P191" s="425">
        <f ca="1">IF(M191&gt;0,N191*100/M191,0)</f>
        <v>28.302222222222223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IFERROR(__xludf.DUMMYFUNCTION("IMPORTRANGE(""https://docs.google.com/spreadsheets/d/1-uDff_7J0KD5mKrp0Vvzr7lt3OU09vwQwhkpOPPYv2Y/edit?usp=sharing"",""งบพรบ!CX42"")"),0)</f>
        <v>0</v>
      </c>
      <c r="M194" s="425">
        <f ca="1">IFERROR(__xludf.DUMMYFUNCTION("IMPORTRANGE(""https://docs.google.com/spreadsheets/d/1-uDff_7J0KD5mKrp0Vvzr7lt3OU09vwQwhkpOPPYv2Y/edit?usp=sharing"",""งบพรบ!DA42"")"),0)</f>
        <v>0</v>
      </c>
      <c r="N194" s="425">
        <f ca="1">IFERROR(__xludf.DUMMYFUNCTION("IMPORTRANGE(""https://docs.google.com/spreadsheets/d/1-uDff_7J0KD5mKrp0Vvzr7lt3OU09vwQwhkpOPPYv2Y/edit?usp=sharing"",""งบพรบ!DC42"")"),0)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0</v>
      </c>
      <c r="K195" s="439">
        <f ca="1">IF(I195&gt;0,J195*100/I195,0)</f>
        <v>0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IFERROR(__xludf.DUMMYFUNCTION("IMPORTRANGE(""https://docs.google.com/spreadsheets/d/1eHaY18a8A9IcSdp1K8H6x8fbOy06t2VsZHhMHf-1x7Y/edit?usp=sharing"",""แผน!AB42"")"),6000)</f>
        <v>6000</v>
      </c>
      <c r="M196" s="428"/>
      <c r="N196" s="686">
        <v>0</v>
      </c>
      <c r="O196" s="577">
        <f ca="1">IF(L196&gt;0,N196*100/L196,0)</f>
        <v>0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IFERROR(__xludf.DUMMYFUNCTION("IMPORTRANGE(""https://docs.google.com/spreadsheets/d/1eHaY18a8A9IcSdp1K8H6x8fbOy06t2VsZHhMHf-1x7Y/edit?usp=sharing"",""แผน!AE42"")"),4)</f>
        <v>4</v>
      </c>
      <c r="J198" s="595">
        <v>0</v>
      </c>
      <c r="K198" s="425">
        <f ca="1">IF(I198&gt;0,J198*100/I198,0)</f>
        <v>0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2</v>
      </c>
      <c r="J202" s="438">
        <f>J209</f>
        <v>0</v>
      </c>
      <c r="K202" s="439">
        <f ca="1">IF(I202&gt;0,J202*100/I202,0)</f>
        <v>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26000</v>
      </c>
      <c r="M203" s="428"/>
      <c r="N203" s="577">
        <f>N204+N205+N206+N207</f>
        <v>0</v>
      </c>
      <c r="O203" s="577">
        <f ca="1">IF(L203&gt;0,N203*100/L203,0)</f>
        <v>0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2" t="s">
        <v>157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IFERROR(__xludf.DUMMYFUNCTION("IMPORTRANGE(""https://docs.google.com/spreadsheets/d/1eHaY18a8A9IcSdp1K8H6x8fbOy06t2VsZHhMHf-1x7Y/edit?usp=sharing"",""แผน!AG42"")"),2000)</f>
        <v>2000</v>
      </c>
      <c r="M204" s="428"/>
      <c r="N204" s="683">
        <v>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IFERROR(__xludf.DUMMYFUNCTION("IMPORTRANGE(""https://docs.google.com/spreadsheets/d/1eHaY18a8A9IcSdp1K8H6x8fbOy06t2VsZHhMHf-1x7Y/edit?usp=sharing"",""แผน!AH42"")"),0)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IFERROR(__xludf.DUMMYFUNCTION("IMPORTRANGE(""https://docs.google.com/spreadsheets/d/1eHaY18a8A9IcSdp1K8H6x8fbOy06t2VsZHhMHf-1x7Y/edit?usp=sharing"",""แผน!AI42"")"),16000)</f>
        <v>16000</v>
      </c>
      <c r="M206" s="428"/>
      <c r="N206" s="683">
        <v>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IFERROR(__xludf.DUMMYFUNCTION("IMPORTRANGE(""https://docs.google.com/spreadsheets/d/1eHaY18a8A9IcSdp1K8H6x8fbOy06t2VsZHhMHf-1x7Y/edit?usp=sharing"",""แผน!AJ42"")"),8000)</f>
        <v>8000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IFERROR(__xludf.DUMMYFUNCTION("IMPORTRANGE(""https://docs.google.com/spreadsheets/d/1eHaY18a8A9IcSdp1K8H6x8fbOy06t2VsZHhMHf-1x7Y/edit?usp=sharing"",""แผน!AK42"")"),2)</f>
        <v>2</v>
      </c>
      <c r="J209" s="595">
        <v>0</v>
      </c>
      <c r="K209" s="621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IFERROR(__xludf.DUMMYFUNCTION("IMPORTRANGE(""https://docs.google.com/spreadsheets/d/1eHaY18a8A9IcSdp1K8H6x8fbOy06t2VsZHhMHf-1x7Y/edit?usp=sharing"",""แผน!JX42"")"),2)</f>
        <v>2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IFERROR(__xludf.DUMMYFUNCTION("IMPORTRANGE(""https://docs.google.com/spreadsheets/d/1eHaY18a8A9IcSdp1K8H6x8fbOy06t2VsZHhMHf-1x7Y/edit?usp=sharing"",""แผน!JY42"")"),0)</f>
        <v>0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hidden="1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0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hidden="1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hidden="1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IFERROR(__xludf.DUMMYFUNCTION("IMPORTRANGE(""https://docs.google.com/spreadsheets/d/1eHaY18a8A9IcSdp1K8H6x8fbOy06t2VsZHhMHf-1x7Y/edit?usp=sharing"",""แผน!AM42"")"),0)</f>
        <v>0</v>
      </c>
      <c r="M215" s="428"/>
      <c r="N215" s="683">
        <v>0</v>
      </c>
      <c r="O215" s="525"/>
      <c r="P215" s="428"/>
    </row>
    <row r="216" spans="1:16" ht="18.75" hidden="1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IFERROR(__xludf.DUMMYFUNCTION("IMPORTRANGE(""https://docs.google.com/spreadsheets/d/1eHaY18a8A9IcSdp1K8H6x8fbOy06t2VsZHhMHf-1x7Y/edit?usp=sharing"",""แผน!AN42"")"),0)</f>
        <v>0</v>
      </c>
      <c r="M216" s="428"/>
      <c r="N216" s="683">
        <v>0</v>
      </c>
      <c r="O216" s="525"/>
      <c r="P216" s="428"/>
    </row>
    <row r="217" spans="1:16" ht="18.75" hidden="1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IFERROR(__xludf.DUMMYFUNCTION("IMPORTRANGE(""https://docs.google.com/spreadsheets/d/1eHaY18a8A9IcSdp1K8H6x8fbOy06t2VsZHhMHf-1x7Y/edit?usp=sharing"",""แผน!AO42"")"),0)</f>
        <v>0</v>
      </c>
      <c r="M217" s="428"/>
      <c r="N217" s="683">
        <v>0</v>
      </c>
      <c r="O217" s="525"/>
      <c r="P217" s="428"/>
    </row>
    <row r="218" spans="1:16" ht="19.5" hidden="1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hidden="1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IFERROR(__xludf.DUMMYFUNCTION("IMPORTRANGE(""https://docs.google.com/spreadsheets/d/1eHaY18a8A9IcSdp1K8H6x8fbOy06t2VsZHhMHf-1x7Y/edit?usp=sharing"",""แผน!AP42"")"),0)</f>
        <v>0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hidden="1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IFERROR(__xludf.DUMMYFUNCTION("IMPORTRANGE(""https://docs.google.com/spreadsheets/d/1eHaY18a8A9IcSdp1K8H6x8fbOy06t2VsZHhMHf-1x7Y/edit?usp=sharing"",""แผน!AP42"")"),0)</f>
        <v>0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64000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10500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2" t="s">
        <v>156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IFERROR(__xludf.DUMMYFUNCTION("IMPORTRANGE(""https://docs.google.com/spreadsheets/d/1eHaY18a8A9IcSdp1K8H6x8fbOy06t2VsZHhMHf-1x7Y/edit?usp=sharing"",""แผน!AR42"")"),9000)</f>
        <v>9000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IFERROR(__xludf.DUMMYFUNCTION("IMPORTRANGE(""https://docs.google.com/spreadsheets/d/1eHaY18a8A9IcSdp1K8H6x8fbOy06t2VsZHhMHf-1x7Y/edit?usp=sharing"",""แผน!AS42"")"),1500)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IFERROR(__xludf.DUMMYFUNCTION("IMPORTRANGE(""https://docs.google.com/spreadsheets/d/1eHaY18a8A9IcSdp1K8H6x8fbOy06t2VsZHhMHf-1x7Y/edit?usp=sharing"",""แผน!AT42"")"),0)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IFERROR(__xludf.DUMMYFUNCTION("IMPORTRANGE(""https://docs.google.com/spreadsheets/d/1eHaY18a8A9IcSdp1K8H6x8fbOy06t2VsZHhMHf-1x7Y/edit?usp=sharing"",""แผน!AV42"")"),64000)</f>
        <v>64000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IFERROR(__xludf.DUMMYFUNCTION("IMPORTRANGE(""https://docs.google.com/spreadsheets/d/1eHaY18a8A9IcSdp1K8H6x8fbOy06t2VsZHhMHf-1x7Y/edit?usp=sharing"",""แผน!AV42"")"),64000)</f>
        <v>64000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IFERROR(__xludf.DUMMYFUNCTION("IMPORTRANGE(""https://docs.google.com/spreadsheets/d/1eHaY18a8A9IcSdp1K8H6x8fbOy06t2VsZHhMHf-1x7Y/edit?usp=sharing"",""แผน!AU42"")"),0)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432"/>
      <c r="B231" s="434"/>
      <c r="C231" s="682" t="s">
        <v>99</v>
      </c>
      <c r="D231" s="433"/>
      <c r="E231" s="433"/>
      <c r="F231" s="433"/>
      <c r="G231" s="436"/>
      <c r="H231" s="437" t="s">
        <v>33</v>
      </c>
      <c r="I231" s="438">
        <f ca="1">I242+I253</f>
        <v>0</v>
      </c>
      <c r="J231" s="438">
        <f>J242+J253</f>
        <v>0</v>
      </c>
      <c r="K231" s="439">
        <f ca="1">IF(I231&gt;0,J231*100/I231,0)</f>
        <v>0</v>
      </c>
      <c r="L231" s="571"/>
      <c r="M231" s="571"/>
      <c r="N231" s="571"/>
      <c r="O231" s="571"/>
      <c r="P231" s="571"/>
    </row>
    <row r="232" spans="1:16" ht="19.5" hidden="1" x14ac:dyDescent="0.3">
      <c r="A232" s="535"/>
      <c r="B232" s="418"/>
      <c r="C232" s="570" t="s">
        <v>16</v>
      </c>
      <c r="D232" s="579" t="s">
        <v>17</v>
      </c>
      <c r="E232" s="418"/>
      <c r="F232" s="418"/>
      <c r="G232" s="422"/>
      <c r="H232" s="681" t="s">
        <v>12</v>
      </c>
      <c r="I232" s="526"/>
      <c r="J232" s="526"/>
      <c r="K232" s="525"/>
      <c r="L232" s="577">
        <f ca="1">L243+L254</f>
        <v>0</v>
      </c>
      <c r="M232" s="428"/>
      <c r="N232" s="577">
        <f>N243+N254</f>
        <v>0</v>
      </c>
      <c r="O232" s="428"/>
      <c r="P232" s="428"/>
    </row>
    <row r="233" spans="1:16" ht="18.75" hidden="1" x14ac:dyDescent="0.25">
      <c r="A233" s="535"/>
      <c r="B233" s="419"/>
      <c r="C233" s="418"/>
      <c r="D233" s="293" t="s">
        <v>80</v>
      </c>
      <c r="E233" s="418"/>
      <c r="F233" s="418"/>
      <c r="G233" s="422"/>
      <c r="H233" s="576" t="s">
        <v>12</v>
      </c>
      <c r="I233" s="526"/>
      <c r="J233" s="526"/>
      <c r="K233" s="525"/>
      <c r="L233" s="425">
        <f ca="1">L244+L255</f>
        <v>0</v>
      </c>
      <c r="M233" s="428"/>
      <c r="N233" s="425">
        <f>N244+N255</f>
        <v>0</v>
      </c>
      <c r="O233" s="428"/>
      <c r="P233" s="428"/>
    </row>
    <row r="234" spans="1:16" ht="18.75" hidden="1" x14ac:dyDescent="0.25">
      <c r="A234" s="417"/>
      <c r="B234" s="419"/>
      <c r="C234" s="419"/>
      <c r="D234" s="293" t="s">
        <v>82</v>
      </c>
      <c r="E234" s="418"/>
      <c r="F234" s="418"/>
      <c r="G234" s="422"/>
      <c r="H234" s="576" t="s">
        <v>12</v>
      </c>
      <c r="I234" s="427"/>
      <c r="J234" s="427"/>
      <c r="K234" s="428"/>
      <c r="L234" s="425">
        <f ca="1">L245+L256</f>
        <v>0</v>
      </c>
      <c r="M234" s="428"/>
      <c r="N234" s="425">
        <f>N245+N256</f>
        <v>0</v>
      </c>
      <c r="O234" s="428"/>
      <c r="P234" s="428"/>
    </row>
    <row r="235" spans="1:16" ht="18.75" hidden="1" x14ac:dyDescent="0.25">
      <c r="A235" s="417"/>
      <c r="B235" s="419"/>
      <c r="C235" s="419"/>
      <c r="D235" s="293" t="s">
        <v>100</v>
      </c>
      <c r="E235" s="418"/>
      <c r="F235" s="418"/>
      <c r="G235" s="422"/>
      <c r="H235" s="576" t="s">
        <v>12</v>
      </c>
      <c r="I235" s="427"/>
      <c r="J235" s="427"/>
      <c r="K235" s="428"/>
      <c r="L235" s="425">
        <f ca="1">L246+L257</f>
        <v>0</v>
      </c>
      <c r="M235" s="428"/>
      <c r="N235" s="425">
        <f>N246+N257</f>
        <v>0</v>
      </c>
      <c r="O235" s="428"/>
      <c r="P235" s="428"/>
    </row>
    <row r="236" spans="1:16" ht="18.75" hidden="1" x14ac:dyDescent="0.25">
      <c r="A236" s="417"/>
      <c r="B236" s="419"/>
      <c r="C236" s="419"/>
      <c r="D236" s="293" t="s">
        <v>101</v>
      </c>
      <c r="E236" s="418"/>
      <c r="F236" s="418"/>
      <c r="G236" s="422"/>
      <c r="H236" s="576" t="s">
        <v>12</v>
      </c>
      <c r="I236" s="427"/>
      <c r="J236" s="427"/>
      <c r="K236" s="428"/>
      <c r="L236" s="425">
        <f ca="1">L247+L258</f>
        <v>0</v>
      </c>
      <c r="M236" s="428"/>
      <c r="N236" s="425">
        <f>N247+N258</f>
        <v>0</v>
      </c>
      <c r="O236" s="428"/>
      <c r="P236" s="428"/>
    </row>
    <row r="237" spans="1:16" ht="19.5" hidden="1" x14ac:dyDescent="0.3">
      <c r="A237" s="532"/>
      <c r="B237" s="430"/>
      <c r="C237" s="680" t="s">
        <v>16</v>
      </c>
      <c r="D237" s="569" t="s">
        <v>36</v>
      </c>
      <c r="E237" s="529"/>
      <c r="F237" s="529"/>
      <c r="G237" s="528"/>
      <c r="H237" s="527"/>
      <c r="I237" s="526"/>
      <c r="J237" s="427"/>
      <c r="K237" s="428"/>
      <c r="L237" s="428"/>
      <c r="M237" s="428"/>
      <c r="N237" s="428"/>
      <c r="O237" s="525"/>
      <c r="P237" s="525"/>
    </row>
    <row r="238" spans="1:16" ht="18.75" hidden="1" x14ac:dyDescent="0.25">
      <c r="A238" s="532"/>
      <c r="B238" s="430"/>
      <c r="C238" s="430"/>
      <c r="D238" s="421" t="s">
        <v>102</v>
      </c>
      <c r="E238" s="420"/>
      <c r="F238" s="420"/>
      <c r="G238" s="527"/>
      <c r="H238" s="566" t="s">
        <v>33</v>
      </c>
      <c r="I238" s="424">
        <f ca="1">I249+I260</f>
        <v>0</v>
      </c>
      <c r="J238" s="424">
        <f>J249+J260</f>
        <v>0</v>
      </c>
      <c r="K238" s="425">
        <f ca="1">IF(I238&gt;0,J238*100/I238,0)</f>
        <v>0</v>
      </c>
      <c r="L238" s="428"/>
      <c r="M238" s="428"/>
      <c r="N238" s="428"/>
      <c r="O238" s="428"/>
      <c r="P238" s="428"/>
    </row>
    <row r="239" spans="1:16" ht="18.75" hidden="1" x14ac:dyDescent="0.25">
      <c r="A239" s="532"/>
      <c r="B239" s="430"/>
      <c r="C239" s="430"/>
      <c r="D239" s="679" t="s">
        <v>41</v>
      </c>
      <c r="E239" s="420"/>
      <c r="F239" s="420"/>
      <c r="G239" s="527"/>
      <c r="H239" s="527"/>
      <c r="I239" s="427"/>
      <c r="J239" s="427"/>
      <c r="K239" s="428"/>
      <c r="L239" s="428"/>
      <c r="M239" s="428"/>
      <c r="N239" s="428"/>
      <c r="O239" s="525"/>
      <c r="P239" s="525"/>
    </row>
    <row r="240" spans="1:16" ht="18.75" hidden="1" x14ac:dyDescent="0.25">
      <c r="A240" s="532"/>
      <c r="B240" s="430"/>
      <c r="C240" s="430"/>
      <c r="D240" s="430"/>
      <c r="E240" s="567" t="s">
        <v>103</v>
      </c>
      <c r="F240" s="420"/>
      <c r="G240" s="527"/>
      <c r="H240" s="566" t="s">
        <v>33</v>
      </c>
      <c r="I240" s="424">
        <f>I251+I262</f>
        <v>0</v>
      </c>
      <c r="J240" s="424">
        <f>J251+J262</f>
        <v>0</v>
      </c>
      <c r="K240" s="425">
        <f>IF(I240&gt;0,J240*100/I240,0)</f>
        <v>0</v>
      </c>
      <c r="L240" s="428"/>
      <c r="M240" s="428"/>
      <c r="N240" s="428"/>
      <c r="O240" s="428"/>
      <c r="P240" s="428"/>
    </row>
    <row r="241" spans="1:16" ht="18.75" hidden="1" x14ac:dyDescent="0.25">
      <c r="A241" s="532"/>
      <c r="B241" s="430"/>
      <c r="C241" s="430"/>
      <c r="D241" s="430"/>
      <c r="E241" s="567" t="s">
        <v>104</v>
      </c>
      <c r="F241" s="420"/>
      <c r="G241" s="527"/>
      <c r="H241" s="566" t="s">
        <v>54</v>
      </c>
      <c r="I241" s="424">
        <f>I252+I263</f>
        <v>0</v>
      </c>
      <c r="J241" s="424">
        <f>J252+J263</f>
        <v>0</v>
      </c>
      <c r="K241" s="425">
        <f>IF(I241&gt;0,J241*100/I241,0)</f>
        <v>0</v>
      </c>
      <c r="L241" s="428"/>
      <c r="M241" s="428"/>
      <c r="N241" s="428"/>
      <c r="O241" s="428"/>
      <c r="P241" s="428"/>
    </row>
    <row r="242" spans="1:16" ht="19.5" hidden="1" x14ac:dyDescent="0.3">
      <c r="A242" s="432"/>
      <c r="B242" s="434"/>
      <c r="C242" s="678" t="s">
        <v>105</v>
      </c>
      <c r="D242" s="433"/>
      <c r="E242" s="433"/>
      <c r="F242" s="433"/>
      <c r="G242" s="436"/>
      <c r="H242" s="677" t="s">
        <v>33</v>
      </c>
      <c r="I242" s="676">
        <f ca="1">I249</f>
        <v>0</v>
      </c>
      <c r="J242" s="676">
        <f>J249</f>
        <v>0</v>
      </c>
      <c r="K242" s="675">
        <f ca="1">IF(I242&gt;0,J242*100/I242,0)</f>
        <v>0</v>
      </c>
      <c r="L242" s="571"/>
      <c r="M242" s="571"/>
      <c r="N242" s="571"/>
      <c r="O242" s="571"/>
      <c r="P242" s="571"/>
    </row>
    <row r="243" spans="1:16" ht="19.5" hidden="1" x14ac:dyDescent="0.3">
      <c r="A243" s="535"/>
      <c r="B243" s="418"/>
      <c r="C243" s="531" t="s">
        <v>16</v>
      </c>
      <c r="D243" s="541" t="s">
        <v>17</v>
      </c>
      <c r="E243" s="418"/>
      <c r="F243" s="418"/>
      <c r="G243" s="422"/>
      <c r="H243" s="673" t="s">
        <v>12</v>
      </c>
      <c r="I243" s="526"/>
      <c r="J243" s="526"/>
      <c r="K243" s="525"/>
      <c r="L243" s="539">
        <f ca="1">L244+L245+L246+L247</f>
        <v>0</v>
      </c>
      <c r="M243" s="428"/>
      <c r="N243" s="539">
        <f>N244+N245+N246+N247</f>
        <v>0</v>
      </c>
      <c r="O243" s="539">
        <f ca="1">IF(L243&gt;0,N243*100/L243,0)</f>
        <v>0</v>
      </c>
      <c r="P243" s="539">
        <f>IF(M243&gt;0,N243*100/M243,0)</f>
        <v>0</v>
      </c>
    </row>
    <row r="244" spans="1:16" ht="18.75" hidden="1" x14ac:dyDescent="0.25">
      <c r="A244" s="535"/>
      <c r="B244" s="419"/>
      <c r="C244" s="418"/>
      <c r="D244" s="534" t="s">
        <v>80</v>
      </c>
      <c r="E244" s="418"/>
      <c r="F244" s="418"/>
      <c r="G244" s="422"/>
      <c r="H244" s="536" t="s">
        <v>12</v>
      </c>
      <c r="I244" s="526"/>
      <c r="J244" s="526"/>
      <c r="K244" s="525"/>
      <c r="L244" s="521">
        <f ca="1">IFERROR(__xludf.DUMMYFUNCTION("IMPORTRANGE(""https://docs.google.com/spreadsheets/d/1eHaY18a8A9IcSdp1K8H6x8fbOy06t2VsZHhMHf-1x7Y/edit?usp=sharing"",""แผน!AX42"")"),0)</f>
        <v>0</v>
      </c>
      <c r="M244" s="428"/>
      <c r="N244" s="672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34" t="s">
        <v>82</v>
      </c>
      <c r="E245" s="418"/>
      <c r="F245" s="418"/>
      <c r="G245" s="422"/>
      <c r="H245" s="536" t="s">
        <v>12</v>
      </c>
      <c r="I245" s="427"/>
      <c r="J245" s="427"/>
      <c r="K245" s="428"/>
      <c r="L245" s="521">
        <f ca="1">IFERROR(__xludf.DUMMYFUNCTION("IMPORTRANGE(""https://docs.google.com/spreadsheets/d/1eHaY18a8A9IcSdp1K8H6x8fbOy06t2VsZHhMHf-1x7Y/edit?usp=sharing"",""แผน!AY42"")"),0)</f>
        <v>0</v>
      </c>
      <c r="M245" s="428"/>
      <c r="N245" s="672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34" t="s">
        <v>100</v>
      </c>
      <c r="E246" s="418"/>
      <c r="F246" s="418"/>
      <c r="G246" s="422"/>
      <c r="H246" s="536" t="s">
        <v>12</v>
      </c>
      <c r="I246" s="427"/>
      <c r="J246" s="427"/>
      <c r="K246" s="428"/>
      <c r="L246" s="521">
        <f ca="1">IFERROR(__xludf.DUMMYFUNCTION("IMPORTRANGE(""https://docs.google.com/spreadsheets/d/1eHaY18a8A9IcSdp1K8H6x8fbOy06t2VsZHhMHf-1x7Y/edit?usp=sharing"",""แผน!AZ42"")"),0)</f>
        <v>0</v>
      </c>
      <c r="M246" s="428"/>
      <c r="N246" s="672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34" t="s">
        <v>101</v>
      </c>
      <c r="E247" s="418"/>
      <c r="F247" s="418"/>
      <c r="G247" s="422"/>
      <c r="H247" s="536" t="s">
        <v>12</v>
      </c>
      <c r="I247" s="427"/>
      <c r="J247" s="427"/>
      <c r="K247" s="428"/>
      <c r="L247" s="521">
        <f ca="1">IFERROR(__xludf.DUMMYFUNCTION("IMPORTRANGE(""https://docs.google.com/spreadsheets/d/1eHaY18a8A9IcSdp1K8H6x8fbOy06t2VsZHhMHf-1x7Y/edit?usp=sharing"",""แผน!BA42"")"),0)</f>
        <v>0</v>
      </c>
      <c r="M247" s="428"/>
      <c r="N247" s="672">
        <v>0</v>
      </c>
      <c r="O247" s="428"/>
      <c r="P247" s="428"/>
    </row>
    <row r="248" spans="1:16" ht="19.5" hidden="1" x14ac:dyDescent="0.3">
      <c r="A248" s="532"/>
      <c r="B248" s="430"/>
      <c r="C248" s="671" t="s">
        <v>16</v>
      </c>
      <c r="D248" s="530" t="s">
        <v>36</v>
      </c>
      <c r="E248" s="529"/>
      <c r="F248" s="529"/>
      <c r="G248" s="528"/>
      <c r="H248" s="527"/>
      <c r="I248" s="526"/>
      <c r="J248" s="427"/>
      <c r="K248" s="428"/>
      <c r="L248" s="428"/>
      <c r="M248" s="428"/>
      <c r="N248" s="428"/>
      <c r="O248" s="525"/>
      <c r="P248" s="525"/>
    </row>
    <row r="249" spans="1:16" ht="18.75" hidden="1" x14ac:dyDescent="0.25">
      <c r="A249" s="532"/>
      <c r="B249" s="430"/>
      <c r="C249" s="430"/>
      <c r="D249" s="524" t="s">
        <v>102</v>
      </c>
      <c r="E249" s="420"/>
      <c r="F249" s="420"/>
      <c r="G249" s="527"/>
      <c r="H249" s="668" t="s">
        <v>33</v>
      </c>
      <c r="I249" s="199">
        <f ca="1">IFERROR(__xludf.DUMMYFUNCTION("IMPORTRANGE(""https://docs.google.com/spreadsheets/d/1eHaY18a8A9IcSdp1K8H6x8fbOy06t2VsZHhMHf-1x7Y/edit?usp=sharing"",""แผน!BG42"")"),0)</f>
        <v>0</v>
      </c>
      <c r="J249" s="522">
        <v>0</v>
      </c>
      <c r="K249" s="521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2"/>
      <c r="B250" s="430"/>
      <c r="C250" s="430"/>
      <c r="D250" s="670" t="s">
        <v>41</v>
      </c>
      <c r="E250" s="420"/>
      <c r="F250" s="420"/>
      <c r="G250" s="527"/>
      <c r="H250" s="527"/>
      <c r="I250" s="427"/>
      <c r="J250" s="427"/>
      <c r="K250" s="428"/>
      <c r="L250" s="428"/>
      <c r="M250" s="428"/>
      <c r="N250" s="428"/>
      <c r="O250" s="525"/>
      <c r="P250" s="525"/>
    </row>
    <row r="251" spans="1:16" ht="18.75" hidden="1" x14ac:dyDescent="0.25">
      <c r="A251" s="532"/>
      <c r="B251" s="430"/>
      <c r="C251" s="430"/>
      <c r="D251" s="430"/>
      <c r="E251" s="669" t="s">
        <v>103</v>
      </c>
      <c r="F251" s="420"/>
      <c r="G251" s="527"/>
      <c r="H251" s="668" t="s">
        <v>33</v>
      </c>
      <c r="I251" s="199">
        <v>0</v>
      </c>
      <c r="J251" s="522">
        <v>0</v>
      </c>
      <c r="K251" s="521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2"/>
      <c r="B252" s="430"/>
      <c r="C252" s="430"/>
      <c r="D252" s="430"/>
      <c r="E252" s="669" t="s">
        <v>104</v>
      </c>
      <c r="F252" s="420"/>
      <c r="G252" s="527"/>
      <c r="H252" s="668" t="s">
        <v>54</v>
      </c>
      <c r="I252" s="199">
        <v>0</v>
      </c>
      <c r="J252" s="522">
        <v>0</v>
      </c>
      <c r="K252" s="521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78" t="s">
        <v>106</v>
      </c>
      <c r="D253" s="433"/>
      <c r="E253" s="433"/>
      <c r="F253" s="433"/>
      <c r="G253" s="436"/>
      <c r="H253" s="677" t="s">
        <v>33</v>
      </c>
      <c r="I253" s="676">
        <f ca="1">I260</f>
        <v>0</v>
      </c>
      <c r="J253" s="676">
        <f>J260</f>
        <v>0</v>
      </c>
      <c r="K253" s="675">
        <f ca="1">IF(I253&gt;0,J253*100/I253,0)</f>
        <v>0</v>
      </c>
      <c r="L253" s="571"/>
      <c r="M253" s="571"/>
      <c r="N253" s="571"/>
      <c r="O253" s="571"/>
      <c r="P253" s="571"/>
    </row>
    <row r="254" spans="1:16" ht="19.5" hidden="1" x14ac:dyDescent="0.3">
      <c r="A254" s="535"/>
      <c r="B254" s="418"/>
      <c r="C254" s="531" t="s">
        <v>16</v>
      </c>
      <c r="D254" s="674" t="s">
        <v>17</v>
      </c>
      <c r="E254" s="418"/>
      <c r="F254" s="418"/>
      <c r="G254" s="422"/>
      <c r="H254" s="673" t="s">
        <v>12</v>
      </c>
      <c r="I254" s="526"/>
      <c r="J254" s="526"/>
      <c r="K254" s="525"/>
      <c r="L254" s="539">
        <f ca="1">L255+L256+L257+L258</f>
        <v>0</v>
      </c>
      <c r="M254" s="428"/>
      <c r="N254" s="539">
        <f>N255+N256+N257+N258</f>
        <v>0</v>
      </c>
      <c r="O254" s="539">
        <f ca="1">IF(L254&gt;0,N254*100/L254,0)</f>
        <v>0</v>
      </c>
      <c r="P254" s="539">
        <f>IF(M254&gt;0,N254*100/M254,0)</f>
        <v>0</v>
      </c>
    </row>
    <row r="255" spans="1:16" ht="18.75" hidden="1" x14ac:dyDescent="0.25">
      <c r="A255" s="535"/>
      <c r="B255" s="419"/>
      <c r="C255" s="418"/>
      <c r="D255" s="534" t="s">
        <v>80</v>
      </c>
      <c r="E255" s="418"/>
      <c r="F255" s="418"/>
      <c r="G255" s="422"/>
      <c r="H255" s="536" t="s">
        <v>12</v>
      </c>
      <c r="I255" s="526"/>
      <c r="J255" s="526"/>
      <c r="K255" s="525"/>
      <c r="L255" s="521">
        <f ca="1">IFERROR(__xludf.DUMMYFUNCTION("IMPORTRANGE(""https://docs.google.com/spreadsheets/d/1eHaY18a8A9IcSdp1K8H6x8fbOy06t2VsZHhMHf-1x7Y/edit?usp=sharing"",""แผน!BB42"")"),0)</f>
        <v>0</v>
      </c>
      <c r="M255" s="428"/>
      <c r="N255" s="672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34" t="s">
        <v>82</v>
      </c>
      <c r="E256" s="418"/>
      <c r="F256" s="418"/>
      <c r="G256" s="422"/>
      <c r="H256" s="536" t="s">
        <v>12</v>
      </c>
      <c r="I256" s="427"/>
      <c r="J256" s="427"/>
      <c r="K256" s="428"/>
      <c r="L256" s="521">
        <f ca="1">IFERROR(__xludf.DUMMYFUNCTION("IMPORTRANGE(""https://docs.google.com/spreadsheets/d/1eHaY18a8A9IcSdp1K8H6x8fbOy06t2VsZHhMHf-1x7Y/edit?usp=sharing"",""แผน!BC42"")"),0)</f>
        <v>0</v>
      </c>
      <c r="M256" s="428"/>
      <c r="N256" s="672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34" t="s">
        <v>100</v>
      </c>
      <c r="E257" s="418"/>
      <c r="F257" s="418"/>
      <c r="G257" s="422"/>
      <c r="H257" s="536" t="s">
        <v>12</v>
      </c>
      <c r="I257" s="427"/>
      <c r="J257" s="427"/>
      <c r="K257" s="428"/>
      <c r="L257" s="521">
        <f ca="1">IFERROR(__xludf.DUMMYFUNCTION("IMPORTRANGE(""https://docs.google.com/spreadsheets/d/1eHaY18a8A9IcSdp1K8H6x8fbOy06t2VsZHhMHf-1x7Y/edit?usp=sharing"",""แผน!BD42"")"),0)</f>
        <v>0</v>
      </c>
      <c r="M257" s="428"/>
      <c r="N257" s="672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34" t="s">
        <v>101</v>
      </c>
      <c r="E258" s="418"/>
      <c r="F258" s="418"/>
      <c r="G258" s="422"/>
      <c r="H258" s="536" t="s">
        <v>12</v>
      </c>
      <c r="I258" s="427"/>
      <c r="J258" s="427"/>
      <c r="K258" s="428"/>
      <c r="L258" s="521">
        <f ca="1">IFERROR(__xludf.DUMMYFUNCTION("IMPORTRANGE(""https://docs.google.com/spreadsheets/d/1eHaY18a8A9IcSdp1K8H6x8fbOy06t2VsZHhMHf-1x7Y/edit?usp=sharing"",""แผน!BE42"")"),0)</f>
        <v>0</v>
      </c>
      <c r="M258" s="428"/>
      <c r="N258" s="672">
        <v>0</v>
      </c>
      <c r="O258" s="428"/>
      <c r="P258" s="428"/>
    </row>
    <row r="259" spans="1:16" ht="19.5" hidden="1" x14ac:dyDescent="0.3">
      <c r="A259" s="532"/>
      <c r="B259" s="430"/>
      <c r="C259" s="671" t="s">
        <v>16</v>
      </c>
      <c r="D259" s="530" t="s">
        <v>36</v>
      </c>
      <c r="E259" s="529"/>
      <c r="F259" s="529"/>
      <c r="G259" s="528"/>
      <c r="H259" s="527"/>
      <c r="I259" s="526"/>
      <c r="J259" s="427"/>
      <c r="K259" s="428"/>
      <c r="L259" s="428"/>
      <c r="M259" s="428"/>
      <c r="N259" s="428"/>
      <c r="O259" s="525"/>
      <c r="P259" s="525"/>
    </row>
    <row r="260" spans="1:16" ht="18.75" hidden="1" x14ac:dyDescent="0.25">
      <c r="A260" s="532"/>
      <c r="B260" s="430"/>
      <c r="C260" s="430"/>
      <c r="D260" s="524" t="s">
        <v>102</v>
      </c>
      <c r="E260" s="420"/>
      <c r="F260" s="420"/>
      <c r="G260" s="527"/>
      <c r="H260" s="668" t="s">
        <v>33</v>
      </c>
      <c r="I260" s="199">
        <f ca="1">IFERROR(__xludf.DUMMYFUNCTION("IMPORTRANGE(""https://docs.google.com/spreadsheets/d/1eHaY18a8A9IcSdp1K8H6x8fbOy06t2VsZHhMHf-1x7Y/edit?usp=sharing"",""แผน!BH42"")"),0)</f>
        <v>0</v>
      </c>
      <c r="J260" s="522">
        <v>0</v>
      </c>
      <c r="K260" s="521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2"/>
      <c r="B261" s="430"/>
      <c r="C261" s="430"/>
      <c r="D261" s="670" t="s">
        <v>41</v>
      </c>
      <c r="E261" s="420"/>
      <c r="F261" s="420"/>
      <c r="G261" s="527"/>
      <c r="H261" s="527"/>
      <c r="I261" s="427"/>
      <c r="J261" s="427"/>
      <c r="K261" s="428"/>
      <c r="L261" s="428"/>
      <c r="M261" s="428"/>
      <c r="N261" s="428"/>
      <c r="O261" s="525"/>
      <c r="P261" s="525"/>
    </row>
    <row r="262" spans="1:16" ht="18.75" hidden="1" x14ac:dyDescent="0.25">
      <c r="A262" s="532"/>
      <c r="B262" s="430"/>
      <c r="C262" s="430"/>
      <c r="D262" s="430"/>
      <c r="E262" s="669" t="s">
        <v>103</v>
      </c>
      <c r="F262" s="420"/>
      <c r="G262" s="527"/>
      <c r="H262" s="668" t="s">
        <v>33</v>
      </c>
      <c r="I262" s="427"/>
      <c r="J262" s="522">
        <v>0</v>
      </c>
      <c r="K262" s="521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2"/>
      <c r="B263" s="430"/>
      <c r="C263" s="430"/>
      <c r="D263" s="430"/>
      <c r="E263" s="669" t="s">
        <v>104</v>
      </c>
      <c r="F263" s="420"/>
      <c r="G263" s="527"/>
      <c r="H263" s="668" t="s">
        <v>54</v>
      </c>
      <c r="I263" s="427"/>
      <c r="J263" s="522">
        <v>0</v>
      </c>
      <c r="K263" s="521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IFERROR(__xludf.DUMMYFUNCTION("IMPORTRANGE(""https://docs.google.com/spreadsheets/d/1-uDff_7J0KD5mKrp0Vvzr7lt3OU09vwQwhkpOPPYv2Y/edit?usp=sharing"",""งบพรบ!DE42"")"),0)</f>
        <v>0</v>
      </c>
      <c r="M271" s="521">
        <f ca="1">IFERROR(__xludf.DUMMYFUNCTION("IMPORTRANGE(""https://docs.google.com/spreadsheets/d/1-uDff_7J0KD5mKrp0Vvzr7lt3OU09vwQwhkpOPPYv2Y/edit?usp=sharing"",""งบพรบ!DJ42"")"),0)</f>
        <v>0</v>
      </c>
      <c r="N271" s="521">
        <f ca="1">IFERROR(__xludf.DUMMYFUNCTION("IMPORTRANGE(""https://docs.google.com/spreadsheets/d/1-uDff_7J0KD5mKrp0Vvzr7lt3OU09vwQwhkpOPPYv2Y/edit?usp=sharing"",""งบพรบ!DL42"")"),0)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IFERROR(__xludf.DUMMYFUNCTION("IMPORTRANGE(""https://docs.google.com/spreadsheets/d/1-uDff_7J0KD5mKrp0Vvzr7lt3OU09vwQwhkpOPPYv2Y/edit?usp=sharing"",""งบพรบ!DH42"")"),0)</f>
        <v>0</v>
      </c>
      <c r="M274" s="521">
        <f ca="1">IFERROR(__xludf.DUMMYFUNCTION("IMPORTRANGE(""https://docs.google.com/spreadsheets/d/1-uDff_7J0KD5mKrp0Vvzr7lt3OU09vwQwhkpOPPYv2Y/edit?usp=sharing"",""งบพรบ!DK42"")"),0)</f>
        <v>0</v>
      </c>
      <c r="N274" s="521">
        <f ca="1">IFERROR(__xludf.DUMMYFUNCTION("IMPORTRANGE(""https://docs.google.com/spreadsheets/d/1-uDff_7J0KD5mKrp0Vvzr7lt3OU09vwQwhkpOPPYv2Y/edit?usp=sharing"",""งบพรบ!DM42"")"),0)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30</v>
      </c>
      <c r="J280" s="629">
        <f>J293</f>
        <v>0</v>
      </c>
      <c r="K280" s="628">
        <f ca="1">IF(I280&gt;0,J280*100/I280,0)</f>
        <v>0</v>
      </c>
      <c r="L280" s="627"/>
      <c r="M280" s="627"/>
      <c r="N280" s="627"/>
      <c r="O280" s="627"/>
      <c r="P280" s="627"/>
    </row>
    <row r="281" spans="1:16" ht="19.5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300</v>
      </c>
      <c r="J281" s="629">
        <f>J292</f>
        <v>0</v>
      </c>
      <c r="K281" s="628">
        <f ca="1">IF(I281&gt;0,J281*100/I281,0)</f>
        <v>0</v>
      </c>
      <c r="L281" s="627"/>
      <c r="M281" s="627"/>
      <c r="N281" s="627"/>
      <c r="O281" s="627"/>
      <c r="P281" s="627"/>
    </row>
    <row r="282" spans="1:16" ht="19.5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172920</v>
      </c>
      <c r="M282" s="577">
        <f ca="1">M283+M284</f>
        <v>136480</v>
      </c>
      <c r="N282" s="577">
        <f ca="1">N283+N284</f>
        <v>32251.8</v>
      </c>
      <c r="O282" s="577">
        <f ca="1">IF(L282&gt;0,N282*100/L282,0)</f>
        <v>18.651283830673144</v>
      </c>
      <c r="P282" s="577">
        <f ca="1">IF(M282&gt;0,N282*100/M282,0)</f>
        <v>23.631154747948418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172920</v>
      </c>
      <c r="M284" s="425">
        <f ca="1">M287+M290</f>
        <v>136480</v>
      </c>
      <c r="N284" s="425">
        <f ca="1">N287+N290</f>
        <v>32251.8</v>
      </c>
      <c r="O284" s="425">
        <f ca="1">IF(L284&gt;0,N284*100/L284,0)</f>
        <v>18.651283830673144</v>
      </c>
      <c r="P284" s="425">
        <f ca="1">IF(M284&gt;0,N284*100/M284,0)</f>
        <v>23.631154747948418</v>
      </c>
    </row>
    <row r="285" spans="1:16" ht="18.75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172920</v>
      </c>
      <c r="M285" s="425">
        <f ca="1">M286+M287</f>
        <v>136480</v>
      </c>
      <c r="N285" s="425">
        <f ca="1">N286+N287</f>
        <v>32251.8</v>
      </c>
      <c r="O285" s="425">
        <f ca="1">IF(L285&gt;0,N285*100/L285,0)</f>
        <v>18.651283830673144</v>
      </c>
      <c r="P285" s="425">
        <f ca="1">IF(M285&gt;0,N285*100/M285,0)</f>
        <v>23.631154747948418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IFERROR(__xludf.DUMMYFUNCTION("IMPORTRANGE(""https://docs.google.com/spreadsheets/d/1-uDff_7J0KD5mKrp0Vvzr7lt3OU09vwQwhkpOPPYv2Y/edit?usp=sharing"",""งบพรบ!DO42"")"),172920)</f>
        <v>172920</v>
      </c>
      <c r="M287" s="425">
        <f ca="1">IFERROR(__xludf.DUMMYFUNCTION("IMPORTRANGE(""https://docs.google.com/spreadsheets/d/1-uDff_7J0KD5mKrp0Vvzr7lt3OU09vwQwhkpOPPYv2Y/edit?usp=sharing"",""งบพรบ!DT42"")"),136480)</f>
        <v>136480</v>
      </c>
      <c r="N287" s="425">
        <f ca="1">IFERROR(__xludf.DUMMYFUNCTION("IMPORTRANGE(""https://docs.google.com/spreadsheets/d/1-uDff_7J0KD5mKrp0Vvzr7lt3OU09vwQwhkpOPPYv2Y/edit?usp=sharing"",""งบพรบ!DV42"")"),32251.8)</f>
        <v>32251.8</v>
      </c>
      <c r="O287" s="425">
        <f ca="1">IF(L287&gt;0,N287*100/L287,0)</f>
        <v>18.651283830673144</v>
      </c>
      <c r="P287" s="425">
        <f ca="1">IF(M287&gt;0,N287*100/M287,0)</f>
        <v>23.631154747948418</v>
      </c>
    </row>
    <row r="288" spans="1:16" ht="18.75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IFERROR(__xludf.DUMMYFUNCTION("IMPORTRANGE(""https://docs.google.com/spreadsheets/d/1-uDff_7J0KD5mKrp0Vvzr7lt3OU09vwQwhkpOPPYv2Y/edit?usp=sharing"",""งบพรบ!DR42"")"),0)</f>
        <v>0</v>
      </c>
      <c r="M290" s="425">
        <f ca="1">IFERROR(__xludf.DUMMYFUNCTION("IMPORTRANGE(""https://docs.google.com/spreadsheets/d/1-uDff_7J0KD5mKrp0Vvzr7lt3OU09vwQwhkpOPPYv2Y/edit?usp=sharing"",""งบพรบ!DU42"")"),0)</f>
        <v>0</v>
      </c>
      <c r="N290" s="425">
        <f ca="1">IFERROR(__xludf.DUMMYFUNCTION("IMPORTRANGE(""https://docs.google.com/spreadsheets/d/1-uDff_7J0KD5mKrp0Vvzr7lt3OU09vwQwhkpOPPYv2Y/edit?usp=sharing"",""งบพรบ!DW42"")"),0)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IFERROR(__xludf.DUMMYFUNCTION("IMPORTRANGE(""https://docs.google.com/spreadsheets/d/1eHaY18a8A9IcSdp1K8H6x8fbOy06t2VsZHhMHf-1x7Y/edit?usp=sharing"",""แผน!EE42"")"),300)</f>
        <v>300</v>
      </c>
      <c r="J292" s="595">
        <v>0</v>
      </c>
      <c r="K292" s="621">
        <f ca="1">IF(I292&gt;0,J292*100/I292,0)</f>
        <v>0</v>
      </c>
      <c r="L292" s="525"/>
      <c r="M292" s="525"/>
      <c r="N292" s="525"/>
      <c r="O292" s="525"/>
      <c r="P292" s="525"/>
    </row>
    <row r="293" spans="1:16" ht="19.5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IFERROR(__xludf.DUMMYFUNCTION("IMPORTRANGE(""https://docs.google.com/spreadsheets/d/1eHaY18a8A9IcSdp1K8H6x8fbOy06t2VsZHhMHf-1x7Y/edit?usp=sharing"",""แผน!ED42"")"),30)</f>
        <v>30</v>
      </c>
      <c r="J293" s="625">
        <f>J296</f>
        <v>0</v>
      </c>
      <c r="K293" s="624">
        <f ca="1">IF(I293&gt;0,J293*100/I293,0)</f>
        <v>0</v>
      </c>
      <c r="L293" s="525"/>
      <c r="M293" s="525"/>
      <c r="N293" s="525"/>
      <c r="O293" s="525"/>
      <c r="P293" s="525"/>
    </row>
    <row r="294" spans="1:16" ht="19.5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IFERROR(__xludf.DUMMYFUNCTION("IMPORTRANGE(""https://docs.google.com/spreadsheets/d/1eHaY18a8A9IcSdp1K8H6x8fbOy06t2VsZHhMHf-1x7Y/edit?usp=sharing"",""แผน!ED42"")"),30)</f>
        <v>30</v>
      </c>
      <c r="J295" s="595">
        <v>0</v>
      </c>
      <c r="K295" s="621">
        <f ca="1">IF(I295&gt;0,J295*100/I295,0)</f>
        <v>0</v>
      </c>
      <c r="L295" s="525"/>
      <c r="M295" s="525"/>
      <c r="N295" s="525"/>
      <c r="O295" s="525"/>
      <c r="P295" s="525"/>
    </row>
    <row r="296" spans="1:16" ht="19.5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IFERROR(__xludf.DUMMYFUNCTION("IMPORTRANGE(""https://docs.google.com/spreadsheets/d/1eHaY18a8A9IcSdp1K8H6x8fbOy06t2VsZHhMHf-1x7Y/edit?usp=sharing"",""แผน!ED42"")"),30)</f>
        <v>30</v>
      </c>
      <c r="J296" s="595">
        <v>0</v>
      </c>
      <c r="K296" s="621">
        <f ca="1">IF(I296&gt;0,J296*100/I296,0)</f>
        <v>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hidden="1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hidden="1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hidden="1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0</v>
      </c>
      <c r="J302" s="598">
        <f>J314</f>
        <v>0</v>
      </c>
      <c r="K302" s="597">
        <f ca="1">IF(I302&gt;0,J302*100/I302,0)</f>
        <v>0</v>
      </c>
      <c r="L302" s="580"/>
      <c r="M302" s="580"/>
      <c r="N302" s="580"/>
      <c r="O302" s="580"/>
      <c r="P302" s="580"/>
    </row>
    <row r="303" spans="1:16" ht="19.5" hidden="1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0</v>
      </c>
      <c r="M303" s="577">
        <f ca="1">M304+M305</f>
        <v>0</v>
      </c>
      <c r="N303" s="577">
        <f ca="1">N304+N305</f>
        <v>0</v>
      </c>
      <c r="O303" s="577">
        <f ca="1">IF(L303&gt;0,N303*100/L303,0)</f>
        <v>0</v>
      </c>
      <c r="P303" s="577">
        <f ca="1">IF(M303&gt;0,N303*100/M303,0)</f>
        <v>0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hidden="1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0</v>
      </c>
      <c r="M305" s="425">
        <f ca="1">M308+M311</f>
        <v>0</v>
      </c>
      <c r="N305" s="425">
        <f ca="1">N308+N311</f>
        <v>0</v>
      </c>
      <c r="O305" s="425">
        <f ca="1">IF(L305&gt;0,N305*100/L305,0)</f>
        <v>0</v>
      </c>
      <c r="P305" s="425">
        <f ca="1">IF(M305&gt;0,N305*100/M305,0)</f>
        <v>0</v>
      </c>
    </row>
    <row r="306" spans="1:16" ht="18.75" hidden="1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0</v>
      </c>
      <c r="M306" s="425">
        <f ca="1">M307+M308</f>
        <v>0</v>
      </c>
      <c r="N306" s="425">
        <f ca="1">N307+N308</f>
        <v>0</v>
      </c>
      <c r="O306" s="425">
        <f ca="1">IF(L306&gt;0,N306*100/L306,0)</f>
        <v>0</v>
      </c>
      <c r="P306" s="425">
        <f ca="1">IF(M306&gt;0,N306*100/M306,0)</f>
        <v>0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hidden="1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IFERROR(__xludf.DUMMYFUNCTION("IMPORTRANGE(""https://docs.google.com/spreadsheets/d/1-uDff_7J0KD5mKrp0Vvzr7lt3OU09vwQwhkpOPPYv2Y/edit?usp=sharing"",""งบพรบ!DY42"")"),0)</f>
        <v>0</v>
      </c>
      <c r="M308" s="425">
        <f ca="1">IFERROR(__xludf.DUMMYFUNCTION("IMPORTRANGE(""https://docs.google.com/spreadsheets/d/1-uDff_7J0KD5mKrp0Vvzr7lt3OU09vwQwhkpOPPYv2Y/edit?usp=sharing"",""งบพรบ!ED42"")"),0)</f>
        <v>0</v>
      </c>
      <c r="N308" s="425">
        <f ca="1">IFERROR(__xludf.DUMMYFUNCTION("IMPORTRANGE(""https://docs.google.com/spreadsheets/d/1-uDff_7J0KD5mKrp0Vvzr7lt3OU09vwQwhkpOPPYv2Y/edit?usp=sharing"",""งบพรบ!EF42"")"),0)</f>
        <v>0</v>
      </c>
      <c r="O308" s="425">
        <f ca="1">IF(L308&gt;0,N308*100/L308,0)</f>
        <v>0</v>
      </c>
      <c r="P308" s="425">
        <f ca="1">IF(M308&gt;0,N308*100/M308,0)</f>
        <v>0</v>
      </c>
    </row>
    <row r="309" spans="1:16" ht="18.75" hidden="1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hidden="1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IFERROR(__xludf.DUMMYFUNCTION("IMPORTRANGE(""https://docs.google.com/spreadsheets/d/1-uDff_7J0KD5mKrp0Vvzr7lt3OU09vwQwhkpOPPYv2Y/edit?usp=sharing"",""งบพรบ!EB42"")"),0)</f>
        <v>0</v>
      </c>
      <c r="M311" s="425">
        <f ca="1">IFERROR(__xludf.DUMMYFUNCTION("IMPORTRANGE(""https://docs.google.com/spreadsheets/d/1-uDff_7J0KD5mKrp0Vvzr7lt3OU09vwQwhkpOPPYv2Y/edit?usp=sharing"",""งบพรบ!EE42"")"),0)</f>
        <v>0</v>
      </c>
      <c r="N311" s="425">
        <f ca="1">IFERROR(__xludf.DUMMYFUNCTION("IMPORTRANGE(""https://docs.google.com/spreadsheets/d/1-uDff_7J0KD5mKrp0Vvzr7lt3OU09vwQwhkpOPPYv2Y/edit?usp=sharing"",""งบพรบ!EG42"")"),0)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hidden="1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hidden="1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0</v>
      </c>
      <c r="K313" s="428"/>
      <c r="L313" s="428"/>
      <c r="M313" s="428"/>
      <c r="N313" s="428"/>
      <c r="O313" s="428"/>
      <c r="P313" s="428"/>
    </row>
    <row r="314" spans="1:16" ht="18.75" hidden="1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IFERROR(__xludf.DUMMYFUNCTION("IMPORTRANGE(""https://docs.google.com/spreadsheets/d/1eHaY18a8A9IcSdp1K8H6x8fbOy06t2VsZHhMHf-1x7Y/edit?usp=sharing"",""แผน!EF42"")"),0)</f>
        <v>0</v>
      </c>
      <c r="J314" s="595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hidden="1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IFERROR(__xludf.DUMMYFUNCTION("IMPORTRANGE(""https://docs.google.com/spreadsheets/d/1eHaY18a8A9IcSdp1K8H6x8fbOy06t2VsZHhMHf-1x7Y/edit?usp=sharing"",""แผน!EG42"")"),0)</f>
        <v>0</v>
      </c>
      <c r="J315" s="595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hidden="1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IFERROR(__xludf.DUMMYFUNCTION("IMPORTRANGE(""https://docs.google.com/spreadsheets/d/1eHaY18a8A9IcSdp1K8H6x8fbOy06t2VsZHhMHf-1x7Y/edit?usp=sharing"",""แผน!EH42"")"),0)</f>
        <v>0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424">
        <f ca="1">IFERROR(__xludf.DUMMYFUNCTION("IMPORTRANGE(""https://docs.google.com/spreadsheets/d/1eHaY18a8A9IcSdp1K8H6x8fbOy06t2VsZHhMHf-1x7Y/edit?usp=sharing"",""แผน!EI42"")"),0)</f>
        <v>0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hidden="1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0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hidden="1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0</v>
      </c>
      <c r="M320" s="577">
        <f ca="1">M321+M322</f>
        <v>0</v>
      </c>
      <c r="N320" s="577">
        <f ca="1">N321+N322</f>
        <v>0</v>
      </c>
      <c r="O320" s="577">
        <f ca="1">IF(L320&gt;0,N320*100/L320,0)</f>
        <v>0</v>
      </c>
      <c r="P320" s="577">
        <f ca="1">IF(M320&gt;0,N320*100/M320,0)</f>
        <v>0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hidden="1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hidden="1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IFERROR(__xludf.DUMMYFUNCTION("IMPORTRANGE(""https://docs.google.com/spreadsheets/d/1-uDff_7J0KD5mKrp0Vvzr7lt3OU09vwQwhkpOPPYv2Y/edit?usp=sharing"",""งบพรบ!EI42"")"),0)</f>
        <v>0</v>
      </c>
      <c r="M325" s="425">
        <f ca="1">IFERROR(__xludf.DUMMYFUNCTION("IMPORTRANGE(""https://docs.google.com/spreadsheets/d/1-uDff_7J0KD5mKrp0Vvzr7lt3OU09vwQwhkpOPPYv2Y/edit?usp=sharing"",""งบพรบ!EN42"")"),0)</f>
        <v>0</v>
      </c>
      <c r="N325" s="425">
        <f ca="1">IFERROR(__xludf.DUMMYFUNCTION("IMPORTRANGE(""https://docs.google.com/spreadsheets/d/1-uDff_7J0KD5mKrp0Vvzr7lt3OU09vwQwhkpOPPYv2Y/edit?usp=sharing"",""งบพรบ!EP42"")"),0)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hidden="1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IFERROR(__xludf.DUMMYFUNCTION("IMPORTRANGE(""https://docs.google.com/spreadsheets/d/1-uDff_7J0KD5mKrp0Vvzr7lt3OU09vwQwhkpOPPYv2Y/edit?usp=sharing"",""งบพรบ!EL42"")"),0)</f>
        <v>0</v>
      </c>
      <c r="M328" s="425">
        <f ca="1">IFERROR(__xludf.DUMMYFUNCTION("IMPORTRANGE(""https://docs.google.com/spreadsheets/d/1-uDff_7J0KD5mKrp0Vvzr7lt3OU09vwQwhkpOPPYv2Y/edit?usp=sharing"",""งบพรบ!EO42"")"),0)</f>
        <v>0</v>
      </c>
      <c r="N328" s="425">
        <f ca="1">IFERROR(__xludf.DUMMYFUNCTION("IMPORTRANGE(""https://docs.google.com/spreadsheets/d/1-uDff_7J0KD5mKrp0Vvzr7lt3OU09vwQwhkpOPPYv2Y/edit?usp=sharing"",""งบพรบ!EQ42"")"),0)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hidden="1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IFERROR(__xludf.DUMMYFUNCTION("IMPORTRANGE(""https://docs.google.com/spreadsheets/d/1eHaY18a8A9IcSdp1K8H6x8fbOy06t2VsZHhMHf-1x7Y/edit?usp=sharing"",""แผน!EJ42"")"),0)</f>
        <v>0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3740</v>
      </c>
      <c r="J332" s="402">
        <f ca="1">J344+J347+J348+J349+J353</f>
        <v>1250</v>
      </c>
      <c r="K332" s="403">
        <f ca="1">IF(I332&gt;0,J332*100/I332,0)</f>
        <v>33.422459893048128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116000</v>
      </c>
      <c r="M333" s="577">
        <f ca="1">M334+M335</f>
        <v>90550</v>
      </c>
      <c r="N333" s="577">
        <f ca="1">N334+N335</f>
        <v>20055</v>
      </c>
      <c r="O333" s="577">
        <f ca="1">IF(L333&gt;0,N333*100/L333,0)</f>
        <v>17.288793103448278</v>
      </c>
      <c r="P333" s="577">
        <f ca="1">IF(M333&gt;0,N333*100/M333,0)</f>
        <v>22.147984538928768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116000</v>
      </c>
      <c r="M335" s="425">
        <f ca="1">M338+M341</f>
        <v>90550</v>
      </c>
      <c r="N335" s="425">
        <f ca="1">N338+N341</f>
        <v>20055</v>
      </c>
      <c r="O335" s="425">
        <f ca="1">IF(L335&gt;0,N335*100/L335,0)</f>
        <v>17.288793103448278</v>
      </c>
      <c r="P335" s="425">
        <f ca="1">IF(M335&gt;0,N335*100/M335,0)</f>
        <v>22.147984538928768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116000</v>
      </c>
      <c r="M336" s="425">
        <f ca="1">M337+M338</f>
        <v>90550</v>
      </c>
      <c r="N336" s="425">
        <f ca="1">N337+N338</f>
        <v>20055</v>
      </c>
      <c r="O336" s="425">
        <f ca="1">IF(L336&gt;0,N336*100/L336,0)</f>
        <v>17.288793103448278</v>
      </c>
      <c r="P336" s="425">
        <f ca="1">IF(M336&gt;0,N336*100/M336,0)</f>
        <v>22.147984538928768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IFERROR(__xludf.DUMMYFUNCTION("IMPORTRANGE(""https://docs.google.com/spreadsheets/d/1-uDff_7J0KD5mKrp0Vvzr7lt3OU09vwQwhkpOPPYv2Y/edit?usp=sharing"",""งบพรบ!ES42"")"),116000)</f>
        <v>116000</v>
      </c>
      <c r="M338" s="425">
        <f ca="1">IFERROR(__xludf.DUMMYFUNCTION("IMPORTRANGE(""https://docs.google.com/spreadsheets/d/1-uDff_7J0KD5mKrp0Vvzr7lt3OU09vwQwhkpOPPYv2Y/edit?usp=sharing"",""งบพรบ!EX42"")"),90550)</f>
        <v>90550</v>
      </c>
      <c r="N338" s="425">
        <f ca="1">IFERROR(__xludf.DUMMYFUNCTION("IMPORTRANGE(""https://docs.google.com/spreadsheets/d/1-uDff_7J0KD5mKrp0Vvzr7lt3OU09vwQwhkpOPPYv2Y/edit?usp=sharing"",""งบพรบ!EZ42"")"),20055)</f>
        <v>20055</v>
      </c>
      <c r="O338" s="425">
        <f ca="1">IF(L338&gt;0,N338*100/L338,0)</f>
        <v>17.288793103448278</v>
      </c>
      <c r="P338" s="425">
        <f ca="1">IF(M338&gt;0,N338*100/M338,0)</f>
        <v>22.147984538928768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IFERROR(__xludf.DUMMYFUNCTION("IMPORTRANGE(""https://docs.google.com/spreadsheets/d/1-uDff_7J0KD5mKrp0Vvzr7lt3OU09vwQwhkpOPPYv2Y/edit?usp=sharing"",""งบพรบ!EV42"")"),0)</f>
        <v>0</v>
      </c>
      <c r="M341" s="425">
        <f ca="1">IFERROR(__xludf.DUMMYFUNCTION("IMPORTRANGE(""https://docs.google.com/spreadsheets/d/1-uDff_7J0KD5mKrp0Vvzr7lt3OU09vwQwhkpOPPYv2Y/edit?usp=sharing"",""งบพรบ!EY42"")"),0)</f>
        <v>0</v>
      </c>
      <c r="N341" s="425">
        <f ca="1">IFERROR(__xludf.DUMMYFUNCTION("IMPORTRANGE(""https://docs.google.com/spreadsheets/d/1-uDff_7J0KD5mKrp0Vvzr7lt3OU09vwQwhkpOPPYv2Y/edit?usp=sharing"",""งบพรบ!FA42"")"),0)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654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IFERROR(__xludf.DUMMYFUNCTION("IMPORTRANGE(""https://docs.google.com/spreadsheets/d/1eHaY18a8A9IcSdp1K8H6x8fbOy06t2VsZHhMHf-1x7Y/edit?usp=sharing"",""แผน!EK42"")"),3740)</f>
        <v>3740</v>
      </c>
      <c r="J344" s="424">
        <f ca="1">IFERROR(__xludf.DUMMYFUNCTION("IMPORTRANGE(""https://docs.google.com/spreadsheets/d/1awYsYK3VOup2i3Pq_Yjnu8DRu_mYwSBnCR2QPthd0rU/edit?usp=sharing"",""ศูนย์ยกเว้นโฉนด!D42"")"),654)</f>
        <v>654</v>
      </c>
      <c r="K344" s="425">
        <f ca="1">IF(I344&gt;0,J344*100/I344,0)</f>
        <v>17.486631016042782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IFERROR(__xludf.DUMMYFUNCTION("IMPORTRANGE(""https://docs.google.com/spreadsheets/d/1eHaY18a8A9IcSdp1K8H6x8fbOy06t2VsZHhMHf-1x7Y/edit?usp=sharing"",""แผน!EL42"")"),5)</f>
        <v>5</v>
      </c>
      <c r="J346" s="424">
        <f ca="1">IFERROR(__xludf.DUMMYFUNCTION("IMPORTRANGE(""https://docs.google.com/spreadsheets/d/1awYsYK3VOup2i3Pq_Yjnu8DRu_mYwSBnCR2QPthd0rU/edit?usp=sharing"",""ศูนย์รวม!E42"")"),2)</f>
        <v>2</v>
      </c>
      <c r="K346" s="425">
        <f ca="1">IF(I346&gt;0,J346*100/I346,0)</f>
        <v>40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IFERROR(__xludf.DUMMYFUNCTION("IMPORTRANGE(""https://docs.google.com/spreadsheets/d/1awYsYK3VOup2i3Pq_Yjnu8DRu_mYwSBnCR2QPthd0rU/edit?usp=sharing"",""ศูนย์ยกเว้นโฉนด!F42"")"),0)</f>
        <v>0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IFERROR(__xludf.DUMMYFUNCTION("IMPORTRANGE(""https://docs.google.com/spreadsheets/d/1awYsYK3VOup2i3Pq_Yjnu8DRu_mYwSBnCR2QPthd0rU/edit?usp=sharing"",""ศูนย์ยกเว้นโฉนด!G42"")"),0)</f>
        <v>0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IFERROR(__xludf.DUMMYFUNCTION("IMPORTRANGE(""https://docs.google.com/spreadsheets/d/1awYsYK3VOup2i3Pq_Yjnu8DRu_mYwSBnCR2QPthd0rU/edit?usp=sharing"",""ศูนย์ยกเว้นโฉนด!H42"")"),0)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3541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IFERROR(__xludf.DUMMYFUNCTION("IMPORTRANGE(""https://docs.google.com/spreadsheets/d/1awYsYK3VOup2i3Pq_Yjnu8DRu_mYwSBnCR2QPthd0rU/edit?usp=sharing"",""โฉนดM3!G42"")"),2945)</f>
        <v>2945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IFERROR(__xludf.DUMMYFUNCTION("IMPORTRANGE(""https://docs.google.com/spreadsheets/d/1awYsYK3VOup2i3Pq_Yjnu8DRu_mYwSBnCR2QPthd0rU/edit?usp=sharing"",""โฉนดM3!H42"")"),596)</f>
        <v>596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1040145</v>
      </c>
      <c r="M356" s="577">
        <f ca="1">M357+M358</f>
        <v>864545</v>
      </c>
      <c r="N356" s="577">
        <f ca="1">N357+N358</f>
        <v>215661.69</v>
      </c>
      <c r="O356" s="577">
        <f ca="1">IF(L356&gt;0,N356*100/L356,0)</f>
        <v>20.733810189925443</v>
      </c>
      <c r="P356" s="577">
        <f ca="1">IF(M356&gt;0,N356*100/M356,0)</f>
        <v>24.94510869879532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1040145</v>
      </c>
      <c r="M358" s="425">
        <f ca="1">M361+M364</f>
        <v>864545</v>
      </c>
      <c r="N358" s="425">
        <f ca="1">N361+N364</f>
        <v>215661.69</v>
      </c>
      <c r="O358" s="425">
        <f ca="1">IF(L358&gt;0,N358*100/L358,0)</f>
        <v>20.733810189925443</v>
      </c>
      <c r="P358" s="425">
        <f ca="1">IF(M358&gt;0,N358*100/M358,0)</f>
        <v>24.94510869879532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1040145</v>
      </c>
      <c r="M359" s="425">
        <f ca="1">M360+M361</f>
        <v>864545</v>
      </c>
      <c r="N359" s="425">
        <f ca="1">N360+N361</f>
        <v>215661.69</v>
      </c>
      <c r="O359" s="425">
        <f ca="1">IF(L359&gt;0,N359*100/L359,0)</f>
        <v>20.733810189925443</v>
      </c>
      <c r="P359" s="425">
        <f ca="1">IF(M359&gt;0,N359*100/M359,0)</f>
        <v>24.94510869879532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IFERROR(__xludf.DUMMYFUNCTION("IMPORTRANGE(""https://docs.google.com/spreadsheets/d/1-uDff_7J0KD5mKrp0Vvzr7lt3OU09vwQwhkpOPPYv2Y/edit?usp=sharing"",""งบพรบ!FC42"")"),1040145)</f>
        <v>1040145</v>
      </c>
      <c r="M361" s="425">
        <f ca="1">IFERROR(__xludf.DUMMYFUNCTION("IMPORTRANGE(""https://docs.google.com/spreadsheets/d/1-uDff_7J0KD5mKrp0Vvzr7lt3OU09vwQwhkpOPPYv2Y/edit?usp=sharing"",""งบพรบ!FH42"")"),864545)</f>
        <v>864545</v>
      </c>
      <c r="N361" s="425">
        <f ca="1">IFERROR(__xludf.DUMMYFUNCTION("IMPORTRANGE(""https://docs.google.com/spreadsheets/d/1-uDff_7J0KD5mKrp0Vvzr7lt3OU09vwQwhkpOPPYv2Y/edit?usp=sharing"",""งบพรบ!FJ42"")"),215661.69)</f>
        <v>215661.69</v>
      </c>
      <c r="O361" s="425">
        <f ca="1">IF(L361&gt;0,N361*100/L361,0)</f>
        <v>20.733810189925443</v>
      </c>
      <c r="P361" s="425">
        <f ca="1">IF(M361&gt;0,N361*100/M361,0)</f>
        <v>24.94510869879532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IFERROR(__xludf.DUMMYFUNCTION("IMPORTRANGE(""https://docs.google.com/spreadsheets/d/1-uDff_7J0KD5mKrp0Vvzr7lt3OU09vwQwhkpOPPYv2Y/edit?usp=sharing"",""งบพรบ!FF42"")"),0)</f>
        <v>0</v>
      </c>
      <c r="M364" s="425">
        <f ca="1">IFERROR(__xludf.DUMMYFUNCTION("IMPORTRANGE(""https://docs.google.com/spreadsheets/d/1-uDff_7J0KD5mKrp0Vvzr7lt3OU09vwQwhkpOPPYv2Y/edit?usp=sharing"",""งบพรบ!FI42"")"),0)</f>
        <v>0</v>
      </c>
      <c r="N364" s="425">
        <f ca="1">IFERROR(__xludf.DUMMYFUNCTION("IMPORTRANGE(""https://docs.google.com/spreadsheets/d/1-uDff_7J0KD5mKrp0Vvzr7lt3OU09vwQwhkpOPPYv2Y/edit?usp=sharing"",""งบพรบ!FK42"")"),0)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445</v>
      </c>
      <c r="J365" s="438">
        <f ca="1">J371</f>
        <v>5</v>
      </c>
      <c r="K365" s="439">
        <f ca="1">IF(I365&gt;0,J365*100/I365,0)</f>
        <v>1.1235955056179776</v>
      </c>
      <c r="L365" s="571"/>
      <c r="M365" s="571"/>
      <c r="N365" s="571"/>
      <c r="O365" s="571"/>
      <c r="P365" s="571"/>
    </row>
    <row r="366" spans="1:16" ht="19.5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IFERROR(__xludf.DUMMYFUNCTION("IMPORTRANGE(""https://docs.google.com/spreadsheets/d/1tdoBKaGub7dwA3U6UFTqxio9LNnvDCQjHKmttSEBsFQ/edit?usp=sharing"",""จัดที่ดิน!AB42"")"),0)</f>
        <v>0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IFERROR(__xludf.DUMMYFUNCTION("IMPORTRANGE(""https://docs.google.com/spreadsheets/d/1eHaY18a8A9IcSdp1K8H6x8fbOy06t2VsZHhMHf-1x7Y/edit?usp=sharing"",""แผน!EW42"")"),3825)</f>
        <v>3825</v>
      </c>
      <c r="J368" s="565">
        <f ca="1">IFERROR(__xludf.DUMMYFUNCTION("IMPORTRANGE(""https://docs.google.com/spreadsheets/d/1tdoBKaGub7dwA3U6UFTqxio9LNnvDCQjHKmttSEBsFQ/edit?usp=sharing"",""จัดที่ดิน!AC42"")"),0)</f>
        <v>0</v>
      </c>
      <c r="K368" s="425">
        <f ca="1">IF(I368&gt;0,J368*100/I368,0)</f>
        <v>0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IFERROR(__xludf.DUMMYFUNCTION("IMPORTRANGE(""https://docs.google.com/spreadsheets/d/1eHaY18a8A9IcSdp1K8H6x8fbOy06t2VsZHhMHf-1x7Y/edit?usp=sharing"",""แผน!EX42"")"),675)</f>
        <v>675</v>
      </c>
      <c r="J369" s="424">
        <f ca="1">IFERROR(__xludf.DUMMYFUNCTION("IMPORTRANGE(""https://docs.google.com/spreadsheets/d/1tdoBKaGub7dwA3U6UFTqxio9LNnvDCQjHKmttSEBsFQ/edit?usp=sharing"",""จัดที่ดิน!AD42"")"),291)</f>
        <v>291</v>
      </c>
      <c r="K369" s="425">
        <f ca="1">IF(I369&gt;0,J369*100/I369,0)</f>
        <v>43.111111111111114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IFERROR(__xludf.DUMMYFUNCTION("IMPORTRANGE(""https://docs.google.com/spreadsheets/d/1tdoBKaGub7dwA3U6UFTqxio9LNnvDCQjHKmttSEBsFQ/edit?usp=sharing"",""จัดที่ดิน!AE42"")"),3590.95)</f>
        <v>3590.95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IFERROR(__xludf.DUMMYFUNCTION("IMPORTRANGE(""https://docs.google.com/spreadsheets/d/1eHaY18a8A9IcSdp1K8H6x8fbOy06t2VsZHhMHf-1x7Y/edit?usp=sharing"",""แผน!EY42"")"),445)</f>
        <v>445</v>
      </c>
      <c r="J371" s="424">
        <f ca="1">IFERROR(__xludf.DUMMYFUNCTION("IMPORTRANGE(""https://docs.google.com/spreadsheets/d/1tdoBKaGub7dwA3U6UFTqxio9LNnvDCQjHKmttSEBsFQ/edit?usp=sharing"",""จัดที่ดิน!AF42"")"),5)</f>
        <v>5</v>
      </c>
      <c r="K371" s="425">
        <f ca="1">IF(I371&gt;0,J371*100/I371,0)</f>
        <v>1.1235955056179776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IFERROR(__xludf.DUMMYFUNCTION("IMPORTRANGE(""https://docs.google.com/spreadsheets/d/1tdoBKaGub7dwA3U6UFTqxio9LNnvDCQjHKmttSEBsFQ/edit?usp=sharing"",""จัดที่ดิน!AG42"")"),29.79)</f>
        <v>29.79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IFERROR(__xludf.DUMMYFUNCTION("IMPORTRANGE(""https://docs.google.com/spreadsheets/d/1-uDff_7J0KD5mKrp0Vvzr7lt3OU09vwQwhkpOPPYv2Y/edit?usp=sharing"",""งบพรบ!FM42"")"),0)</f>
        <v>0</v>
      </c>
      <c r="M382" s="521">
        <f ca="1">IFERROR(__xludf.DUMMYFUNCTION("IMPORTRANGE(""https://docs.google.com/spreadsheets/d/1-uDff_7J0KD5mKrp0Vvzr7lt3OU09vwQwhkpOPPYv2Y/edit?usp=sharing"",""งบพรบ!FR42"")"),0)</f>
        <v>0</v>
      </c>
      <c r="N382" s="521">
        <f ca="1">IFERROR(__xludf.DUMMYFUNCTION("IMPORTRANGE(""https://docs.google.com/spreadsheets/d/1-uDff_7J0KD5mKrp0Vvzr7lt3OU09vwQwhkpOPPYv2Y/edit?usp=sharing"",""งบพรบ!FT42"")"),0)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IFERROR(__xludf.DUMMYFUNCTION("IMPORTRANGE(""https://docs.google.com/spreadsheets/d/1-uDff_7J0KD5mKrp0Vvzr7lt3OU09vwQwhkpOPPYv2Y/edit?usp=sharing"",""งบพรบ!FP42"")"),0)</f>
        <v>0</v>
      </c>
      <c r="M385" s="521">
        <f ca="1">IFERROR(__xludf.DUMMYFUNCTION("IMPORTRANGE(""https://docs.google.com/spreadsheets/d/1-uDff_7J0KD5mKrp0Vvzr7lt3OU09vwQwhkpOPPYv2Y/edit?usp=sharing"",""งบพรบ!FS42"")"),0)</f>
        <v>0</v>
      </c>
      <c r="N385" s="521">
        <f ca="1">IFERROR(__xludf.DUMMYFUNCTION("IMPORTRANGE(""https://docs.google.com/spreadsheets/d/1-uDff_7J0KD5mKrp0Vvzr7lt3OU09vwQwhkpOPPYv2Y/edit?usp=sharing"",""งบพรบ!FU42"")"),0)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94E0A-0997-44C6-9FA8-95EAA5B4A2A9}">
  <sheetPr>
    <outlinePr summaryBelow="0" summaryRight="0"/>
    <pageSetUpPr fitToPage="1"/>
  </sheetPr>
  <dimension ref="A1:P391"/>
  <sheetViews>
    <sheetView view="pageBreakPreview" zoomScale="60" zoomScaleNormal="70" workbookViewId="0">
      <pane xSplit="8" ySplit="17" topLeftCell="I18" activePane="bottomRight" state="frozen"/>
      <selection activeCell="H27" sqref="H27"/>
      <selection pane="topRight" activeCell="H27" sqref="H27"/>
      <selection pane="bottomLeft" activeCell="H27" sqref="H27"/>
      <selection pane="bottomRight" activeCell="H27" sqref="H27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4.42578125" bestFit="1" customWidth="1"/>
    <col min="10" max="10" width="15.140625" customWidth="1"/>
    <col min="11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869" t="s">
        <v>0</v>
      </c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  <c r="O1" s="869"/>
      <c r="P1" s="869"/>
    </row>
    <row r="2" spans="1:16" ht="19.5" x14ac:dyDescent="0.3">
      <c r="A2" s="869" t="s">
        <v>171</v>
      </c>
      <c r="B2" s="869"/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  <c r="P2" s="869"/>
    </row>
    <row r="3" spans="1:16" ht="19.5" x14ac:dyDescent="0.3">
      <c r="A3" s="869"/>
      <c r="B3" s="869"/>
      <c r="C3" s="869"/>
      <c r="D3" s="869"/>
      <c r="E3" s="869"/>
      <c r="F3" s="869"/>
      <c r="G3" s="869"/>
      <c r="H3" s="869"/>
      <c r="I3" s="869"/>
      <c r="J3" s="869"/>
      <c r="K3" s="869"/>
      <c r="L3" s="869"/>
      <c r="M3" s="869"/>
      <c r="N3" s="869"/>
      <c r="O3" s="869"/>
      <c r="P3" s="869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5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493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2277320</v>
      </c>
      <c r="M18" s="704">
        <f ca="1">M19+M20</f>
        <v>1908570</v>
      </c>
      <c r="N18" s="704">
        <f ca="1">N19+N20</f>
        <v>815735.37</v>
      </c>
      <c r="O18" s="704">
        <f ca="1">IF(L18&gt;0,N18*100/L18,0)</f>
        <v>35.819971282033265</v>
      </c>
      <c r="P18" s="704">
        <f ca="1">IF(M18&gt;0,N18*100/M18,0)</f>
        <v>42.740657665162921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2277320</v>
      </c>
      <c r="M20" s="817">
        <f ca="1">M23+M26</f>
        <v>1908570</v>
      </c>
      <c r="N20" s="817">
        <f ca="1">N23+N26</f>
        <v>815735.37</v>
      </c>
      <c r="O20" s="817">
        <f ca="1">IF(L20&gt;0,N20*100/L20,0)</f>
        <v>35.819971282033265</v>
      </c>
      <c r="P20" s="817">
        <f ca="1">IF(M20&gt;0,N20*100/M20,0)</f>
        <v>42.740657665162921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2277320</v>
      </c>
      <c r="M21" s="425">
        <f ca="1">M22+M23</f>
        <v>1908570</v>
      </c>
      <c r="N21" s="425">
        <f ca="1">N22+N23</f>
        <v>815735.37</v>
      </c>
      <c r="O21" s="425">
        <f ca="1">IF(L21&gt;0,N21*100/L21,0)</f>
        <v>35.819971282033265</v>
      </c>
      <c r="P21" s="425">
        <f ca="1">IF(M21&gt;0,N21*100/M21,0)</f>
        <v>42.740657665162921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2277320</v>
      </c>
      <c r="M23" s="425">
        <f ca="1">M49+M64+M77+M99+M130+M144+M162+M191+M178+M271+M287+M308+M325+M338+M361+M382</f>
        <v>1908570</v>
      </c>
      <c r="N23" s="425">
        <f ca="1">N49+N64+N77+N99+N130+N144+N162+N191+N178+N271+N287+N308+N325+N338+N361+N382</f>
        <v>815735.37</v>
      </c>
      <c r="O23" s="425">
        <f ca="1">IF(L23&gt;0,N23*100/L23,0)</f>
        <v>35.819971282033265</v>
      </c>
      <c r="P23" s="425">
        <f ca="1">IF(M23&gt;0,N23*100/M23,0)</f>
        <v>42.740657665162921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2.75" hidden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2277320</v>
      </c>
      <c r="M40" s="809">
        <f ca="1">M44+M59+M72+M94+M125+M139+M157+M173+M186+M266+M282+M303+M320+M333+M356</f>
        <v>1908570</v>
      </c>
      <c r="N40" s="809">
        <f ca="1">N44+N59+N72+N94+N125+N139+N157+N173+N186+N266+N282+N303+N320+N333+N356</f>
        <v>815735.37</v>
      </c>
      <c r="O40" s="809">
        <f ca="1">IF(L40&gt;0,N40*100/L40,0)</f>
        <v>35.819971282033265</v>
      </c>
      <c r="P40" s="809">
        <f ca="1">IF(M40&gt;0,N40*100/M40,0)</f>
        <v>42.740657665162921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442150</v>
      </c>
      <c r="M44" s="794">
        <f ca="1">M45+M46</f>
        <v>448900</v>
      </c>
      <c r="N44" s="794">
        <f ca="1">N45+N46</f>
        <v>131250</v>
      </c>
      <c r="O44" s="794">
        <f ca="1">IF(L44&gt;0,N44*100/L44,0)</f>
        <v>29.684496211692863</v>
      </c>
      <c r="P44" s="794">
        <f ca="1">IF(M44&gt;0,N44*100/M44,0)</f>
        <v>29.238137669859658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442150</v>
      </c>
      <c r="M46" s="783">
        <f ca="1">M49+M52</f>
        <v>448900</v>
      </c>
      <c r="N46" s="783">
        <f ca="1">N49+N52</f>
        <v>131250</v>
      </c>
      <c r="O46" s="783">
        <f ca="1">IF(L46&gt;0,N46*100/L46,0)</f>
        <v>29.684496211692863</v>
      </c>
      <c r="P46" s="783">
        <f ca="1">IF(M46&gt;0,N46*100/M46,0)</f>
        <v>29.238137669859658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442150</v>
      </c>
      <c r="M47" s="425">
        <f ca="1">M48+M49</f>
        <v>448900</v>
      </c>
      <c r="N47" s="425">
        <f ca="1">N48+N49</f>
        <v>131250</v>
      </c>
      <c r="O47" s="425">
        <f ca="1">IF(L47&gt;0,N47*100/L47,0)</f>
        <v>29.684496211692863</v>
      </c>
      <c r="P47" s="425">
        <f ca="1">IF(M47&gt;0,N47*100/M47,0)</f>
        <v>29.238137669859658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IFERROR(__xludf.DUMMYFUNCTION("IMPORTRANGE(""https://docs.google.com/spreadsheets/d/1-uDff_7J0KD5mKrp0Vvzr7lt3OU09vwQwhkpOPPYv2Y/edit?usp=sharing"",""งบพรบ!P43"")"),442150)</f>
        <v>442150</v>
      </c>
      <c r="M49" s="425">
        <f ca="1">IFERROR(__xludf.DUMMYFUNCTION("IMPORTRANGE(""https://docs.google.com/spreadsheets/d/1-uDff_7J0KD5mKrp0Vvzr7lt3OU09vwQwhkpOPPYv2Y/edit?usp=sharing"",""งบพรบ!V43"")"),448900)</f>
        <v>448900</v>
      </c>
      <c r="N49" s="425">
        <f ca="1">IFERROR(__xludf.DUMMYFUNCTION("IMPORTRANGE(""https://docs.google.com/spreadsheets/d/1-uDff_7J0KD5mKrp0Vvzr7lt3OU09vwQwhkpOPPYv2Y/edit?usp=sharing"",""งบพรบ!Y43"")"),131250)</f>
        <v>131250</v>
      </c>
      <c r="O49" s="425">
        <f ca="1">IF(L49&gt;0,N49*100/L49,0)</f>
        <v>29.684496211692863</v>
      </c>
      <c r="P49" s="425">
        <f ca="1">IF(M49&gt;0,N49*100/M49,0)</f>
        <v>29.238137669859658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IFERROR(__xludf.DUMMYFUNCTION("IMPORTRANGE(""https://docs.google.com/spreadsheets/d/1-uDff_7J0KD5mKrp0Vvzr7lt3OU09vwQwhkpOPPYv2Y/edit?usp=sharing"",""งบพรบ!S43"")"),0)</f>
        <v>0</v>
      </c>
      <c r="M52" s="425">
        <f ca="1">IFERROR(__xludf.DUMMYFUNCTION("IMPORTRANGE(""https://docs.google.com/spreadsheets/d/1-uDff_7J0KD5mKrp0Vvzr7lt3OU09vwQwhkpOPPYv2Y/edit?usp=sharing"",""งบพรบ!W43"")"),0)</f>
        <v>0</v>
      </c>
      <c r="N52" s="425">
        <f ca="1">IFERROR(__xludf.DUMMYFUNCTION("IMPORTRANGE(""https://docs.google.com/spreadsheets/d/1-uDff_7J0KD5mKrp0Vvzr7lt3OU09vwQwhkpOPPYv2Y/edit?usp=sharing"",""งบพรบ!Z43"")"),0)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494900</v>
      </c>
      <c r="M59" s="763">
        <f ca="1">M60+M61</f>
        <v>373350</v>
      </c>
      <c r="N59" s="763">
        <f ca="1">N60+N61</f>
        <v>274300.84999999998</v>
      </c>
      <c r="O59" s="763">
        <f ca="1">IF(L59&gt;0,N59*100/L59,0)</f>
        <v>55.425510204081625</v>
      </c>
      <c r="P59" s="763">
        <f ca="1">IF(M59&gt;0,N59*100/M59,0)</f>
        <v>73.470162046337208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494900</v>
      </c>
      <c r="M61" s="752">
        <f ca="1">M64+M67</f>
        <v>373350</v>
      </c>
      <c r="N61" s="752">
        <f ca="1">N64+N67</f>
        <v>274300.84999999998</v>
      </c>
      <c r="O61" s="752">
        <f ca="1">IF(L61&gt;0,N61*100/L61,0)</f>
        <v>55.425510204081625</v>
      </c>
      <c r="P61" s="752">
        <f ca="1">IF(M61&gt;0,N61*100/M61,0)</f>
        <v>73.470162046337208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494900</v>
      </c>
      <c r="M62" s="425">
        <f ca="1">M63+M64</f>
        <v>373350</v>
      </c>
      <c r="N62" s="425">
        <f ca="1">N63+N64</f>
        <v>274300.84999999998</v>
      </c>
      <c r="O62" s="425">
        <f ca="1">IF(L62&gt;0,N62*100/L62,0)</f>
        <v>55.425510204081625</v>
      </c>
      <c r="P62" s="425">
        <f ca="1">IF(M62&gt;0,N62*100/M62,0)</f>
        <v>73.470162046337208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IFERROR(__xludf.DUMMYFUNCTION("IMPORTRANGE(""https://docs.google.com/spreadsheets/d/1-uDff_7J0KD5mKrp0Vvzr7lt3OU09vwQwhkpOPPYv2Y/edit?usp=sharing"",""งบพรบ!AC43"")"),494900)</f>
        <v>494900</v>
      </c>
      <c r="M64" s="425">
        <f ca="1">IFERROR(__xludf.DUMMYFUNCTION("IMPORTRANGE(""https://docs.google.com/spreadsheets/d/1-uDff_7J0KD5mKrp0Vvzr7lt3OU09vwQwhkpOPPYv2Y/edit?usp=sharing"",""งบพรบ!AH43"")"),373350)</f>
        <v>373350</v>
      </c>
      <c r="N64" s="425">
        <f ca="1">IFERROR(__xludf.DUMMYFUNCTION("IMPORTRANGE(""https://docs.google.com/spreadsheets/d/1-uDff_7J0KD5mKrp0Vvzr7lt3OU09vwQwhkpOPPYv2Y/edit?usp=sharing"",""งบพรบ!AJ43"")"),274300.85)</f>
        <v>274300.84999999998</v>
      </c>
      <c r="O64" s="425">
        <f ca="1">IF(L64&gt;0,N64*100/L64,0)</f>
        <v>55.425510204081625</v>
      </c>
      <c r="P64" s="425">
        <f ca="1">IF(M64&gt;0,N64*100/M64,0)</f>
        <v>73.470162046337208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IFERROR(__xludf.DUMMYFUNCTION("IMPORTRANGE(""https://docs.google.com/spreadsheets/d/1-uDff_7J0KD5mKrp0Vvzr7lt3OU09vwQwhkpOPPYv2Y/edit?usp=sharing"",""งบพรบ!AF43"")"),0)</f>
        <v>0</v>
      </c>
      <c r="M67" s="747">
        <f ca="1">IFERROR(__xludf.DUMMYFUNCTION("IMPORTRANGE(""https://docs.google.com/spreadsheets/d/1-uDff_7J0KD5mKrp0Vvzr7lt3OU09vwQwhkpOPPYv2Y/edit?usp=sharing"",""งบพรบ!AI43"")"),0)</f>
        <v>0</v>
      </c>
      <c r="N67" s="747">
        <f ca="1">IFERROR(__xludf.DUMMYFUNCTION("IMPORTRANGE(""https://docs.google.com/spreadsheets/d/1-uDff_7J0KD5mKrp0Vvzr7lt3OU09vwQwhkpOPPYv2Y/edit?usp=sharing"",""งบพรบ!AK43"")"),0)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19.5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hidden="1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hidden="1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0</v>
      </c>
      <c r="J70" s="705">
        <f>J82</f>
        <v>0</v>
      </c>
      <c r="K70" s="704">
        <f ca="1">IF(I70&gt;0,J70*100/I70,0)</f>
        <v>0</v>
      </c>
      <c r="L70" s="703"/>
      <c r="M70" s="703"/>
      <c r="N70" s="703"/>
      <c r="O70" s="703"/>
      <c r="P70" s="703"/>
    </row>
    <row r="71" spans="1:16" ht="19.5" hidden="1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0</v>
      </c>
      <c r="J71" s="705">
        <f>J83</f>
        <v>0</v>
      </c>
      <c r="K71" s="704">
        <f ca="1">IF(I71&gt;0,J71*100/I71,0)</f>
        <v>0</v>
      </c>
      <c r="L71" s="703"/>
      <c r="M71" s="703"/>
      <c r="N71" s="703"/>
      <c r="O71" s="703"/>
      <c r="P71" s="703"/>
    </row>
    <row r="72" spans="1:16" ht="19.5" hidden="1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0</v>
      </c>
      <c r="M72" s="577">
        <f ca="1">M73+M74</f>
        <v>0</v>
      </c>
      <c r="N72" s="577">
        <f ca="1">N73+N74</f>
        <v>0</v>
      </c>
      <c r="O72" s="577">
        <f ca="1">IF(L72&gt;0,N72*100/L72,0)</f>
        <v>0</v>
      </c>
      <c r="P72" s="577">
        <f ca="1">IF(M72&gt;0,N72*100/M72,0)</f>
        <v>0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hidden="1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hidden="1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IFERROR(__xludf.DUMMYFUNCTION("IMPORTRANGE(""https://docs.google.com/spreadsheets/d/1-uDff_7J0KD5mKrp0Vvzr7lt3OU09vwQwhkpOPPYv2Y/edit?usp=sharing"",""งบพรบ!AM43"")"),0)</f>
        <v>0</v>
      </c>
      <c r="M77" s="425">
        <f ca="1">IFERROR(__xludf.DUMMYFUNCTION("IMPORTRANGE(""https://docs.google.com/spreadsheets/d/1-uDff_7J0KD5mKrp0Vvzr7lt3OU09vwQwhkpOPPYv2Y/edit?usp=sharing"",""งบพรบ!AR43"")"),0)</f>
        <v>0</v>
      </c>
      <c r="N77" s="425">
        <f ca="1">IFERROR(__xludf.DUMMYFUNCTION("IMPORTRANGE(""https://docs.google.com/spreadsheets/d/1-uDff_7J0KD5mKrp0Vvzr7lt3OU09vwQwhkpOPPYv2Y/edit?usp=sharing"",""งบพรบ!AT43"")"),0)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hidden="1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IFERROR(__xludf.DUMMYFUNCTION("IMPORTRANGE(""https://docs.google.com/spreadsheets/d/1-uDff_7J0KD5mKrp0Vvzr7lt3OU09vwQwhkpOPPYv2Y/edit?usp=sharing"",""งบพรบ!AP43"")"),0)</f>
        <v>0</v>
      </c>
      <c r="M80" s="425">
        <f ca="1">IFERROR(__xludf.DUMMYFUNCTION("IMPORTRANGE(""https://docs.google.com/spreadsheets/d/1-uDff_7J0KD5mKrp0Vvzr7lt3OU09vwQwhkpOPPYv2Y/edit?usp=sharing"",""งบพรบ!AS43"")"),0)</f>
        <v>0</v>
      </c>
      <c r="N80" s="425">
        <f ca="1">IFERROR(__xludf.DUMMYFUNCTION("IMPORTRANGE(""https://docs.google.com/spreadsheets/d/1-uDff_7J0KD5mKrp0Vvzr7lt3OU09vwQwhkpOPPYv2Y/edit?usp=sharing"",""งบพรบ!AU43"")"),0)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hidden="1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0</v>
      </c>
      <c r="J82" s="625">
        <f>J84+J86+J88</f>
        <v>0</v>
      </c>
      <c r="K82" s="624">
        <f ca="1">IF(I82&gt;0,J82*100/I82,0)</f>
        <v>0</v>
      </c>
      <c r="L82" s="525"/>
      <c r="M82" s="525"/>
      <c r="N82" s="525"/>
      <c r="O82" s="525"/>
      <c r="P82" s="525"/>
    </row>
    <row r="83" spans="1:16" ht="19.5" hidden="1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0</v>
      </c>
      <c r="J83" s="625">
        <f>J85+J87+J89</f>
        <v>0</v>
      </c>
      <c r="K83" s="624">
        <f ca="1">IF(I83&gt;0,J83*100/I83,0)</f>
        <v>0</v>
      </c>
      <c r="L83" s="525"/>
      <c r="M83" s="525"/>
      <c r="N83" s="525"/>
      <c r="O83" s="525"/>
      <c r="P83" s="525"/>
    </row>
    <row r="84" spans="1:16" ht="18.75" hidden="1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IFERROR(__xludf.DUMMYFUNCTION("IMPORTRANGE(""https://docs.google.com/spreadsheets/d/1eHaY18a8A9IcSdp1K8H6x8fbOy06t2VsZHhMHf-1x7Y/edit?usp=sharing"",""แผน!H43"")"),0)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hidden="1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IFERROR(__xludf.DUMMYFUNCTION("IMPORTRANGE(""https://docs.google.com/spreadsheets/d/1eHaY18a8A9IcSdp1K8H6x8fbOy06t2VsZHhMHf-1x7Y/edit?usp=sharing"",""แผน!I43"")"),0)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hidden="1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IFERROR(__xludf.DUMMYFUNCTION("IMPORTRANGE(""https://docs.google.com/spreadsheets/d/1eHaY18a8A9IcSdp1K8H6x8fbOy06t2VsZHhMHf-1x7Y/edit?usp=sharing"",""แผน!F43"")"),0)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hidden="1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IFERROR(__xludf.DUMMYFUNCTION("IMPORTRANGE(""https://docs.google.com/spreadsheets/d/1eHaY18a8A9IcSdp1K8H6x8fbOy06t2VsZHhMHf-1x7Y/edit?usp=sharing"",""แผน!G43"")"),0)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hidden="1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IFERROR(__xludf.DUMMYFUNCTION("IMPORTRANGE(""https://docs.google.com/spreadsheets/d/1eHaY18a8A9IcSdp1K8H6x8fbOy06t2VsZHhMHf-1x7Y/edit?usp=sharing"",""แผน!D43"")"),0)</f>
        <v>0</v>
      </c>
      <c r="J88" s="595">
        <v>0</v>
      </c>
      <c r="K88" s="621">
        <f ca="1">IF(I88&gt;0,J88*100/I88,0)</f>
        <v>0</v>
      </c>
      <c r="L88" s="525"/>
      <c r="M88" s="525"/>
      <c r="N88" s="525"/>
      <c r="O88" s="525"/>
      <c r="P88" s="525"/>
    </row>
    <row r="89" spans="1:16" ht="18.75" hidden="1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IFERROR(__xludf.DUMMYFUNCTION("IMPORTRANGE(""https://docs.google.com/spreadsheets/d/1eHaY18a8A9IcSdp1K8H6x8fbOy06t2VsZHhMHf-1x7Y/edit?usp=sharing"",""แผน!E43"")"),0)</f>
        <v>0</v>
      </c>
      <c r="J89" s="595">
        <v>0</v>
      </c>
      <c r="K89" s="621">
        <f ca="1">IF(I89&gt;0,J89*100/I89,0)</f>
        <v>0</v>
      </c>
      <c r="L89" s="525"/>
      <c r="M89" s="525"/>
      <c r="N89" s="525"/>
      <c r="O89" s="525"/>
      <c r="P89" s="525"/>
    </row>
    <row r="90" spans="1:16" ht="18.75" hidden="1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IFERROR(__xludf.DUMMYFUNCTION("IMPORTRANGE(""https://docs.google.com/spreadsheets/d/1eHaY18a8A9IcSdp1K8H6x8fbOy06t2VsZHhMHf-1x7Y/edit?usp=sharing"",""แผน!J43"")"),0)</f>
        <v>0</v>
      </c>
      <c r="J90" s="595">
        <v>0</v>
      </c>
      <c r="K90" s="621">
        <f ca="1">IF(I90&gt;0,J90*100/I90,0)</f>
        <v>0</v>
      </c>
      <c r="L90" s="525"/>
      <c r="M90" s="525"/>
      <c r="N90" s="525"/>
      <c r="O90" s="525"/>
      <c r="P90" s="525"/>
    </row>
    <row r="91" spans="1:16" ht="19.5" hidden="1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hidden="1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0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hidden="1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0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hidden="1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0</v>
      </c>
      <c r="M94" s="577">
        <f ca="1">M95+M96</f>
        <v>0</v>
      </c>
      <c r="N94" s="577">
        <f ca="1">N95+N96</f>
        <v>0</v>
      </c>
      <c r="O94" s="577">
        <f ca="1">IF(L94&gt;0,N94*100/L94,0)</f>
        <v>0</v>
      </c>
      <c r="P94" s="577">
        <f ca="1">IF(M94&gt;0,N94*100/M94,0)</f>
        <v>0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hidden="1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hidden="1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IFERROR(__xludf.DUMMYFUNCTION("IMPORTRANGE(""https://docs.google.com/spreadsheets/d/1-uDff_7J0KD5mKrp0Vvzr7lt3OU09vwQwhkpOPPYv2Y/edit?usp=sharing"",""งบพรบ!AW43"")"),0)</f>
        <v>0</v>
      </c>
      <c r="M99" s="425">
        <f ca="1">IFERROR(__xludf.DUMMYFUNCTION("IMPORTRANGE(""https://docs.google.com/spreadsheets/d/1-uDff_7J0KD5mKrp0Vvzr7lt3OU09vwQwhkpOPPYv2Y/edit?usp=sharing"",""งบพรบ!BB43"")"),0)</f>
        <v>0</v>
      </c>
      <c r="N99" s="425">
        <f ca="1">IFERROR(__xludf.DUMMYFUNCTION("IMPORTRANGE(""https://docs.google.com/spreadsheets/d/1-uDff_7J0KD5mKrp0Vvzr7lt3OU09vwQwhkpOPPYv2Y/edit?usp=sharing"",""งบพรบ!BD43"")"),0)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hidden="1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IFERROR(__xludf.DUMMYFUNCTION("IMPORTRANGE(""https://docs.google.com/spreadsheets/d/1-uDff_7J0KD5mKrp0Vvzr7lt3OU09vwQwhkpOPPYv2Y/edit?usp=sharing"",""งบพรบ!AZ43"")"),0)</f>
        <v>0</v>
      </c>
      <c r="M102" s="425">
        <f ca="1">IFERROR(__xludf.DUMMYFUNCTION("IMPORTRANGE(""https://docs.google.com/spreadsheets/d/1-uDff_7J0KD5mKrp0Vvzr7lt3OU09vwQwhkpOPPYv2Y/edit?usp=sharing"",""งบพรบ!BC43"")"),0)</f>
        <v>0</v>
      </c>
      <c r="N102" s="425">
        <f ca="1">IFERROR(__xludf.DUMMYFUNCTION("IMPORTRANGE(""https://docs.google.com/spreadsheets/d/1-uDff_7J0KD5mKrp0Vvzr7lt3OU09vwQwhkpOPPYv2Y/edit?usp=sharing"",""งบพรบ!BE43"")"),0)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hidden="1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hidden="1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IFERROR(__xludf.DUMMYFUNCTION("IMPORTRANGE(""https://docs.google.com/spreadsheets/d/1eHaY18a8A9IcSdp1K8H6x8fbOy06t2VsZHhMHf-1x7Y/edit?usp=sharing"",""แผน!N43"")"),0)</f>
        <v>0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hidden="1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IFERROR(__xludf.DUMMYFUNCTION("IMPORTRANGE(""https://docs.google.com/spreadsheets/d/1eHaY18a8A9IcSdp1K8H6x8fbOy06t2VsZHhMHf-1x7Y/edit?usp=sharing"",""แผน!O43"")"),0)</f>
        <v>0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hidden="1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IFERROR(__xludf.DUMMYFUNCTION("IMPORTRANGE(""https://docs.google.com/spreadsheets/d/1eHaY18a8A9IcSdp1K8H6x8fbOy06t2VsZHhMHf-1x7Y/edit?usp=sharing"",""แผน!R43"")"),0)</f>
        <v>0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IFERROR(__xludf.DUMMYFUNCTION("IMPORTRANGE(""https://docs.google.com/spreadsheets/d/1-uDff_7J0KD5mKrp0Vvzr7lt3OU09vwQwhkpOPPYv2Y/edit?usp=sharing"",""งบพรบ!BG43"")"),0)</f>
        <v>0</v>
      </c>
      <c r="M130" s="723">
        <f ca="1">IFERROR(__xludf.DUMMYFUNCTION("IMPORTRANGE(""https://docs.google.com/spreadsheets/d/1-uDff_7J0KD5mKrp0Vvzr7lt3OU09vwQwhkpOPPYv2Y/edit?usp=sharing"",""งบพรบ!BL43"")"),0)</f>
        <v>0</v>
      </c>
      <c r="N130" s="723">
        <f ca="1">IFERROR(__xludf.DUMMYFUNCTION("IMPORTRANGE(""https://docs.google.com/spreadsheets/d/1-uDff_7J0KD5mKrp0Vvzr7lt3OU09vwQwhkpOPPYv2Y/edit?usp=sharing"",""งบพรบ!BN43"")"),0)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IFERROR(__xludf.DUMMYFUNCTION("IMPORTRANGE(""https://docs.google.com/spreadsheets/d/1-uDff_7J0KD5mKrp0Vvzr7lt3OU09vwQwhkpOPPYv2Y/edit?usp=sharing"",""งบพรบ!BJ43"")"),0)</f>
        <v>0</v>
      </c>
      <c r="M133" s="723">
        <f ca="1">IFERROR(__xludf.DUMMYFUNCTION("IMPORTRANGE(""https://docs.google.com/spreadsheets/d/1-uDff_7J0KD5mKrp0Vvzr7lt3OU09vwQwhkpOPPYv2Y/edit?usp=sharing"",""งบพรบ!BM43"")"),0)</f>
        <v>0</v>
      </c>
      <c r="N133" s="723">
        <f ca="1">IFERROR(__xludf.DUMMYFUNCTION("IMPORTRANGE(""https://docs.google.com/spreadsheets/d/1-uDff_7J0KD5mKrp0Vvzr7lt3OU09vwQwhkpOPPYv2Y/edit?usp=sharing"",""งบพรบ!BO43"")"),0)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0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20</v>
      </c>
      <c r="J137" s="705">
        <f>J152</f>
        <v>0</v>
      </c>
      <c r="K137" s="704">
        <f ca="1">IF(I137&gt;0,J137*100/I137,0)</f>
        <v>0</v>
      </c>
      <c r="L137" s="703"/>
      <c r="M137" s="703"/>
      <c r="N137" s="703"/>
      <c r="O137" s="703"/>
      <c r="P137" s="703"/>
    </row>
    <row r="138" spans="1:16" ht="19.5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2</v>
      </c>
      <c r="J138" s="705">
        <f>J153</f>
        <v>0</v>
      </c>
      <c r="K138" s="704">
        <f ca="1">IF(I138&gt;0,J138*100/I138,0)</f>
        <v>0</v>
      </c>
      <c r="L138" s="703"/>
      <c r="M138" s="703"/>
      <c r="N138" s="703"/>
      <c r="O138" s="703"/>
      <c r="P138" s="703"/>
    </row>
    <row r="139" spans="1:16" ht="19.5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117600</v>
      </c>
      <c r="M139" s="577">
        <f ca="1">M140+M141</f>
        <v>88100</v>
      </c>
      <c r="N139" s="577">
        <f ca="1">N140+N141</f>
        <v>34261.449999999997</v>
      </c>
      <c r="O139" s="577">
        <f ca="1">IF(L139&gt;0,N139*100/L139,0)</f>
        <v>29.133886054421765</v>
      </c>
      <c r="P139" s="577">
        <f ca="1">IF(M139&gt;0,N139*100/M139,0)</f>
        <v>38.889273552780928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117600</v>
      </c>
      <c r="M141" s="425">
        <f ca="1">M144+M147</f>
        <v>88100</v>
      </c>
      <c r="N141" s="425">
        <f ca="1">N144+N147</f>
        <v>34261.449999999997</v>
      </c>
      <c r="O141" s="425">
        <f ca="1">IF(L141&gt;0,N141*100/L141,0)</f>
        <v>29.133886054421765</v>
      </c>
      <c r="P141" s="425">
        <f ca="1">IF(M141&gt;0,N141*100/M141,0)</f>
        <v>38.889273552780928</v>
      </c>
    </row>
    <row r="142" spans="1:16" ht="18.75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117600</v>
      </c>
      <c r="M142" s="425">
        <f ca="1">M143+M144</f>
        <v>88100</v>
      </c>
      <c r="N142" s="425">
        <f ca="1">N143+N144</f>
        <v>34261.449999999997</v>
      </c>
      <c r="O142" s="425">
        <f ca="1">IF(L142&gt;0,N142*100/L142,0)</f>
        <v>29.133886054421765</v>
      </c>
      <c r="P142" s="425">
        <f ca="1">IF(M142&gt;0,N142*100/M142,0)</f>
        <v>38.889273552780928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IFERROR(__xludf.DUMMYFUNCTION("IMPORTRANGE(""https://docs.google.com/spreadsheets/d/1-uDff_7J0KD5mKrp0Vvzr7lt3OU09vwQwhkpOPPYv2Y/edit?usp=sharing"",""งบพรบ!BQ43"")"),117600)</f>
        <v>117600</v>
      </c>
      <c r="M144" s="425">
        <f ca="1">IFERROR(__xludf.DUMMYFUNCTION("IMPORTRANGE(""https://docs.google.com/spreadsheets/d/1-uDff_7J0KD5mKrp0Vvzr7lt3OU09vwQwhkpOPPYv2Y/edit?usp=sharing"",""งบพรบ!BV43"")"),88100)</f>
        <v>88100</v>
      </c>
      <c r="N144" s="425">
        <f ca="1">IFERROR(__xludf.DUMMYFUNCTION("IMPORTRANGE(""https://docs.google.com/spreadsheets/d/1-uDff_7J0KD5mKrp0Vvzr7lt3OU09vwQwhkpOPPYv2Y/edit?usp=sharing"",""งบพรบ!BX43"")"),34261.45)</f>
        <v>34261.449999999997</v>
      </c>
      <c r="O144" s="425">
        <f ca="1">IF(L144&gt;0,N144*100/L144,0)</f>
        <v>29.133886054421765</v>
      </c>
      <c r="P144" s="425">
        <f ca="1">IF(M144&gt;0,N144*100/M144,0)</f>
        <v>38.889273552780928</v>
      </c>
    </row>
    <row r="145" spans="1:16" ht="18.75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IFERROR(__xludf.DUMMYFUNCTION("IMPORTRANGE(""https://docs.google.com/spreadsheets/d/1-uDff_7J0KD5mKrp0Vvzr7lt3OU09vwQwhkpOPPYv2Y/edit?usp=sharing"",""งบพรบ!BT43"")"),0)</f>
        <v>0</v>
      </c>
      <c r="M147" s="425">
        <f ca="1">IFERROR(__xludf.DUMMYFUNCTION("IMPORTRANGE(""https://docs.google.com/spreadsheets/d/1-uDff_7J0KD5mKrp0Vvzr7lt3OU09vwQwhkpOPPYv2Y/edit?usp=sharing"",""งบพรบ!BW43"")"),0)</f>
        <v>0</v>
      </c>
      <c r="N147" s="425">
        <f ca="1">IFERROR(__xludf.DUMMYFUNCTION("IMPORTRANGE(""https://docs.google.com/spreadsheets/d/1-uDff_7J0KD5mKrp0Vvzr7lt3OU09vwQwhkpOPPYv2Y/edit?usp=sharing"",""งบพรบ!BY43"")"),0)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x14ac:dyDescent="0.3">
      <c r="A150" s="535"/>
      <c r="B150" s="418"/>
      <c r="C150" s="418"/>
      <c r="D150" s="420"/>
      <c r="E150" s="570" t="s">
        <v>159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IFERROR(__xludf.DUMMYFUNCTION("IMPORTRANGE(""https://docs.google.com/spreadsheets/d/1eHaY18a8A9IcSdp1K8H6x8fbOy06t2VsZHhMHf-1x7Y/edit?usp=sharing"",""แผน!U43"")"),0)</f>
        <v>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IFERROR(__xludf.DUMMYFUNCTION("IMPORTRANGE(""https://docs.google.com/spreadsheets/d/1eHaY18a8A9IcSdp1K8H6x8fbOy06t2VsZHhMHf-1x7Y/edit?usp=sharing"",""แผน!V43"")"),0)</f>
        <v>0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x14ac:dyDescent="0.3">
      <c r="A152" s="535"/>
      <c r="B152" s="418"/>
      <c r="C152" s="418"/>
      <c r="D152" s="420"/>
      <c r="E152" s="570" t="s">
        <v>158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IFERROR(__xludf.DUMMYFUNCTION("IMPORTRANGE(""https://docs.google.com/spreadsheets/d/1eHaY18a8A9IcSdp1K8H6x8fbOy06t2VsZHhMHf-1x7Y/edit?usp=sharing"",""แผน!W43"")"),20)</f>
        <v>20</v>
      </c>
      <c r="J152" s="595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IFERROR(__xludf.DUMMYFUNCTION("IMPORTRANGE(""https://docs.google.com/spreadsheets/d/1eHaY18a8A9IcSdp1K8H6x8fbOy06t2VsZHhMHf-1x7Y/edit?usp=sharing"",""แผน!X43"")"),2)</f>
        <v>2</v>
      </c>
      <c r="J153" s="595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IFERROR(__xludf.DUMMYFUNCTION("IMPORTRANGE(""https://docs.google.com/spreadsheets/d/1eHaY18a8A9IcSdp1K8H6x8fbOy06t2VsZHhMHf-1x7Y/edit?usp=sharing"",""แผน!Y43"")"),0)</f>
        <v>0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hidden="1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hidden="1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I169</f>
        <v>0</v>
      </c>
      <c r="J156" s="705">
        <f>J169</f>
        <v>0</v>
      </c>
      <c r="K156" s="704">
        <f ca="1">IF(I156&gt;0,J156*100/I156,0)</f>
        <v>0</v>
      </c>
      <c r="L156" s="703"/>
      <c r="M156" s="703"/>
      <c r="N156" s="703"/>
      <c r="O156" s="703"/>
      <c r="P156" s="703"/>
    </row>
    <row r="157" spans="1:16" ht="19.5" hidden="1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hidden="1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hidden="1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hidden="1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IFERROR(__xludf.DUMMYFUNCTION("IMPORTRANGE(""https://docs.google.com/spreadsheets/d/1-uDff_7J0KD5mKrp0Vvzr7lt3OU09vwQwhkpOPPYv2Y/edit?usp=sharing"",""งบพรบ!CA43"")"),0)</f>
        <v>0</v>
      </c>
      <c r="M162" s="425">
        <f ca="1">IFERROR(__xludf.DUMMYFUNCTION("IMPORTRANGE(""https://docs.google.com/spreadsheets/d/1-uDff_7J0KD5mKrp0Vvzr7lt3OU09vwQwhkpOPPYv2Y/edit?usp=sharing"",""งบพรบ!CF43"")"),0)</f>
        <v>0</v>
      </c>
      <c r="N162" s="425">
        <f ca="1">IFERROR(__xludf.DUMMYFUNCTION("IMPORTRANGE(""https://docs.google.com/spreadsheets/d/1-uDff_7J0KD5mKrp0Vvzr7lt3OU09vwQwhkpOPPYv2Y/edit?usp=sharing"",""งบพรบ!CH43"")"),0)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hidden="1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hidden="1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IFERROR(__xludf.DUMMYFUNCTION("IMPORTRANGE(""https://docs.google.com/spreadsheets/d/1-uDff_7J0KD5mKrp0Vvzr7lt3OU09vwQwhkpOPPYv2Y/edit?usp=sharing"",""งบพรบ!CD43"")"),0)</f>
        <v>0</v>
      </c>
      <c r="M165" s="425">
        <f ca="1">IFERROR(__xludf.DUMMYFUNCTION("IMPORTRANGE(""https://docs.google.com/spreadsheets/d/1-uDff_7J0KD5mKrp0Vvzr7lt3OU09vwQwhkpOPPYv2Y/edit?usp=sharing"",""งบพรบ!CG43"")"),0)</f>
        <v>0</v>
      </c>
      <c r="N165" s="425">
        <f ca="1">IFERROR(__xludf.DUMMYFUNCTION("IMPORTRANGE(""https://docs.google.com/spreadsheets/d/1-uDff_7J0KD5mKrp0Vvzr7lt3OU09vwQwhkpOPPYv2Y/edit?usp=sharing"",""งบพรบ!CI43"")"),0)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hidden="1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hidden="1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IFERROR(__xludf.DUMMYFUNCTION("IMPORTRANGE(""https://docs.google.com/spreadsheets/d/1eHaY18a8A9IcSdp1K8H6x8fbOy06t2VsZHhMHf-1x7Y/edit?usp=sharing"",""แผน!Z43"")"),0)</f>
        <v>0</v>
      </c>
      <c r="J167" s="595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IFERROR(__xludf.DUMMYFUNCTION("IMPORTRANGE(""https://docs.google.com/spreadsheets/d/1eHaY18a8A9IcSdp1K8H6x8fbOy06t2VsZHhMHf-1x7Y/edit?usp=sharing"",""แผน!Z43"")"),0)</f>
        <v>0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IFERROR(__xludf.DUMMYFUNCTION("IMPORTRANGE(""https://docs.google.com/spreadsheets/d/1eHaY18a8A9IcSdp1K8H6x8fbOy06t2VsZHhMHf-1x7Y/edit?usp=sharing"",""แผน!Z43"")"),0)</f>
        <v>0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7</v>
      </c>
      <c r="J172" s="688">
        <f>J183+J184</f>
        <v>7</v>
      </c>
      <c r="K172" s="687">
        <f ca="1">IF(I172&gt;0,J172*100/I172,0)</f>
        <v>100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19590</v>
      </c>
      <c r="M173" s="577">
        <f ca="1">M174+M175</f>
        <v>19590</v>
      </c>
      <c r="N173" s="577">
        <f ca="1">N174+N175</f>
        <v>0</v>
      </c>
      <c r="O173" s="577">
        <f ca="1">IF(L173&gt;0,N173*100/L173,0)</f>
        <v>0</v>
      </c>
      <c r="P173" s="577">
        <f ca="1">IF(M173&gt;0,N173*100/M173,0)</f>
        <v>0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19590</v>
      </c>
      <c r="N175" s="425">
        <f ca="1">N178+N181</f>
        <v>0</v>
      </c>
      <c r="O175" s="425">
        <f ca="1">IF(L175&gt;0,N175*100/L175,0)</f>
        <v>0</v>
      </c>
      <c r="P175" s="425">
        <f ca="1">IF(M175&gt;0,N175*100/M175,0)</f>
        <v>0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19590</v>
      </c>
      <c r="M176" s="425">
        <f ca="1">M177+M178</f>
        <v>19590</v>
      </c>
      <c r="N176" s="425">
        <f ca="1">N177+N178</f>
        <v>0</v>
      </c>
      <c r="O176" s="425">
        <f ca="1">IF(L176&gt;0,N176*100/L176,0)</f>
        <v>0</v>
      </c>
      <c r="P176" s="425">
        <f ca="1">IF(M176&gt;0,N176*100/M176,0)</f>
        <v>0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IFERROR(__xludf.DUMMYFUNCTION("IMPORTRANGE(""https://docs.google.com/spreadsheets/d/1-uDff_7J0KD5mKrp0Vvzr7lt3OU09vwQwhkpOPPYv2Y/edit?usp=sharing"",""งบพรบ!CK43"")"),19590)</f>
        <v>19590</v>
      </c>
      <c r="M178" s="425">
        <f ca="1">IFERROR(__xludf.DUMMYFUNCTION("IMPORTRANGE(""https://docs.google.com/spreadsheets/d/1-uDff_7J0KD5mKrp0Vvzr7lt3OU09vwQwhkpOPPYv2Y/edit?usp=sharing"",""งบพรบ!CP43"")"),19590)</f>
        <v>19590</v>
      </c>
      <c r="N178" s="425">
        <f ca="1">IFERROR(__xludf.DUMMYFUNCTION("IMPORTRANGE(""https://docs.google.com/spreadsheets/d/1-uDff_7J0KD5mKrp0Vvzr7lt3OU09vwQwhkpOPPYv2Y/edit?usp=sharing"",""งบพรบ!CR43"")"),0)</f>
        <v>0</v>
      </c>
      <c r="O178" s="425">
        <f ca="1">IF(L178&gt;0,N178*100/L178,0)</f>
        <v>0</v>
      </c>
      <c r="P178" s="425">
        <f ca="1">IF(M178&gt;0,N178*100/M178,0)</f>
        <v>0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IFERROR(__xludf.DUMMYFUNCTION("IMPORTRANGE(""https://docs.google.com/spreadsheets/d/1-uDff_7J0KD5mKrp0Vvzr7lt3OU09vwQwhkpOPPYv2Y/edit?usp=sharing"",""งบพรบ!CN43"")"),0)</f>
        <v>0</v>
      </c>
      <c r="M181" s="425">
        <f ca="1">IFERROR(__xludf.DUMMYFUNCTION("IMPORTRANGE(""https://docs.google.com/spreadsheets/d/1-uDff_7J0KD5mKrp0Vvzr7lt3OU09vwQwhkpOPPYv2Y/edit?usp=sharing"",""งบพรบ!CQ43"")"),0)</f>
        <v>0</v>
      </c>
      <c r="N181" s="425">
        <f ca="1">IFERROR(__xludf.DUMMYFUNCTION("IMPORTRANGE(""https://docs.google.com/spreadsheets/d/1-uDff_7J0KD5mKrp0Vvzr7lt3OU09vwQwhkpOPPYv2Y/edit?usp=sharing"",""งบพรบ!CS43"")"),0)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IFERROR(__xludf.DUMMYFUNCTION("IMPORTRANGE(""https://docs.google.com/spreadsheets/d/1eHaY18a8A9IcSdp1K8H6x8fbOy06t2VsZHhMHf-1x7Y/edit?usp=sharing"",""แผน!AA43"")"),7)</f>
        <v>7</v>
      </c>
      <c r="J183" s="595">
        <v>7</v>
      </c>
      <c r="K183" s="425">
        <f ca="1">IF(I183&gt;0,J183*100/I183,0)</f>
        <v>100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0</v>
      </c>
      <c r="J185" s="688">
        <f>J230+J231</f>
        <v>0</v>
      </c>
      <c r="K185" s="687">
        <f ca="1">IF(I185&gt;0,J185*100/I185,0)</f>
        <v>0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92500</v>
      </c>
      <c r="M186" s="577">
        <f ca="1">M187+M188</f>
        <v>49500</v>
      </c>
      <c r="N186" s="577">
        <f ca="1">N187+N188</f>
        <v>1120</v>
      </c>
      <c r="O186" s="577">
        <f ca="1">IF(L186&gt;0,N186*100/L186,0)</f>
        <v>1.2108108108108109</v>
      </c>
      <c r="P186" s="577">
        <f ca="1">IF(M186&gt;0,N186*100/M186,0)</f>
        <v>2.2626262626262625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92500</v>
      </c>
      <c r="M188" s="425">
        <f ca="1">M191+M194</f>
        <v>49500</v>
      </c>
      <c r="N188" s="425">
        <f ca="1">N191+N194</f>
        <v>1120</v>
      </c>
      <c r="O188" s="425">
        <f ca="1">IF(L188&gt;0,N188*100/L188,0)</f>
        <v>1.2108108108108109</v>
      </c>
      <c r="P188" s="425">
        <f ca="1">IF(M188&gt;0,N188*100/M188,0)</f>
        <v>2.2626262626262625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92500</v>
      </c>
      <c r="M189" s="425">
        <f ca="1">M190+M191</f>
        <v>49500</v>
      </c>
      <c r="N189" s="425">
        <f ca="1">N190+N191</f>
        <v>1120</v>
      </c>
      <c r="O189" s="425">
        <f ca="1">IF(L189&gt;0,N189*100/L189,0)</f>
        <v>1.2108108108108109</v>
      </c>
      <c r="P189" s="425">
        <f ca="1">IF(M189&gt;0,N189*100/M189,0)</f>
        <v>2.2626262626262625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IFERROR(__xludf.DUMMYFUNCTION("IMPORTRANGE(""https://docs.google.com/spreadsheets/d/1-uDff_7J0KD5mKrp0Vvzr7lt3OU09vwQwhkpOPPYv2Y/edit?usp=sharing"",""งบพรบ!CU43"")"),92500)</f>
        <v>92500</v>
      </c>
      <c r="M191" s="425">
        <f ca="1">IFERROR(__xludf.DUMMYFUNCTION("IMPORTRANGE(""https://docs.google.com/spreadsheets/d/1-uDff_7J0KD5mKrp0Vvzr7lt3OU09vwQwhkpOPPYv2Y/edit?usp=sharing"",""งบพรบ!CZ43"")"),49500)</f>
        <v>49500</v>
      </c>
      <c r="N191" s="425">
        <f ca="1">IFERROR(__xludf.DUMMYFUNCTION("IMPORTRANGE(""https://docs.google.com/spreadsheets/d/1-uDff_7J0KD5mKrp0Vvzr7lt3OU09vwQwhkpOPPYv2Y/edit?usp=sharing"",""งบพรบ!DB43"")"),1120)</f>
        <v>1120</v>
      </c>
      <c r="O191" s="425">
        <f ca="1">IF(L191&gt;0,N191*100/L191,0)</f>
        <v>1.2108108108108109</v>
      </c>
      <c r="P191" s="425">
        <f ca="1">IF(M191&gt;0,N191*100/M191,0)</f>
        <v>2.2626262626262625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IFERROR(__xludf.DUMMYFUNCTION("IMPORTRANGE(""https://docs.google.com/spreadsheets/d/1-uDff_7J0KD5mKrp0Vvzr7lt3OU09vwQwhkpOPPYv2Y/edit?usp=sharing"",""งบพรบ!CX43"")"),0)</f>
        <v>0</v>
      </c>
      <c r="M194" s="425">
        <f ca="1">IFERROR(__xludf.DUMMYFUNCTION("IMPORTRANGE(""https://docs.google.com/spreadsheets/d/1-uDff_7J0KD5mKrp0Vvzr7lt3OU09vwQwhkpOPPYv2Y/edit?usp=sharing"",""งบพรบ!DA43"")"),0)</f>
        <v>0</v>
      </c>
      <c r="N194" s="425">
        <f ca="1">IFERROR(__xludf.DUMMYFUNCTION("IMPORTRANGE(""https://docs.google.com/spreadsheets/d/1-uDff_7J0KD5mKrp0Vvzr7lt3OU09vwQwhkpOPPYv2Y/edit?usp=sharing"",""งบพรบ!DC43"")"),0)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1</v>
      </c>
      <c r="K195" s="439">
        <f ca="1">IF(I195&gt;0,J195*100/I195,0)</f>
        <v>25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IFERROR(__xludf.DUMMYFUNCTION("IMPORTRANGE(""https://docs.google.com/spreadsheets/d/1eHaY18a8A9IcSdp1K8H6x8fbOy06t2VsZHhMHf-1x7Y/edit?usp=sharing"",""แผน!AB43"")"),6000)</f>
        <v>6000</v>
      </c>
      <c r="M196" s="428"/>
      <c r="N196" s="686">
        <v>0</v>
      </c>
      <c r="O196" s="577">
        <f ca="1">IF(L196&gt;0,N196*100/L196,0)</f>
        <v>0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IFERROR(__xludf.DUMMYFUNCTION("IMPORTRANGE(""https://docs.google.com/spreadsheets/d/1eHaY18a8A9IcSdp1K8H6x8fbOy06t2VsZHhMHf-1x7Y/edit?usp=sharing"",""แผน!AE43"")"),4)</f>
        <v>4</v>
      </c>
      <c r="J198" s="595">
        <v>1</v>
      </c>
      <c r="K198" s="425">
        <f ca="1">IF(I198&gt;0,J198*100/I198,0)</f>
        <v>25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20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20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3</v>
      </c>
      <c r="J202" s="438">
        <f>J209</f>
        <v>0</v>
      </c>
      <c r="K202" s="439">
        <f ca="1">IF(I202&gt;0,J202*100/I202,0)</f>
        <v>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42000</v>
      </c>
      <c r="M203" s="428"/>
      <c r="N203" s="577">
        <f>N204+N205+N206+N207</f>
        <v>0</v>
      </c>
      <c r="O203" s="577">
        <f ca="1">IF(L203&gt;0,N203*100/L203,0)</f>
        <v>0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2" t="s">
        <v>157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IFERROR(__xludf.DUMMYFUNCTION("IMPORTRANGE(""https://docs.google.com/spreadsheets/d/1eHaY18a8A9IcSdp1K8H6x8fbOy06t2VsZHhMHf-1x7Y/edit?usp=sharing"",""แผน!AG43"")"),3000)</f>
        <v>3000</v>
      </c>
      <c r="M204" s="428"/>
      <c r="N204" s="683">
        <v>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IFERROR(__xludf.DUMMYFUNCTION("IMPORTRANGE(""https://docs.google.com/spreadsheets/d/1eHaY18a8A9IcSdp1K8H6x8fbOy06t2VsZHhMHf-1x7Y/edit?usp=sharing"",""แผน!AH43"")"),0)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IFERROR(__xludf.DUMMYFUNCTION("IMPORTRANGE(""https://docs.google.com/spreadsheets/d/1eHaY18a8A9IcSdp1K8H6x8fbOy06t2VsZHhMHf-1x7Y/edit?usp=sharing"",""แผน!AI43"")"),24000)</f>
        <v>24000</v>
      </c>
      <c r="M206" s="428"/>
      <c r="N206" s="683">
        <v>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IFERROR(__xludf.DUMMYFUNCTION("IMPORTRANGE(""https://docs.google.com/spreadsheets/d/1eHaY18a8A9IcSdp1K8H6x8fbOy06t2VsZHhMHf-1x7Y/edit?usp=sharing"",""แผน!AJ43"")"),15000)</f>
        <v>15000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IFERROR(__xludf.DUMMYFUNCTION("IMPORTRANGE(""https://docs.google.com/spreadsheets/d/1eHaY18a8A9IcSdp1K8H6x8fbOy06t2VsZHhMHf-1x7Y/edit?usp=sharing"",""แผน!AK43"")"),3)</f>
        <v>3</v>
      </c>
      <c r="J209" s="595">
        <v>0</v>
      </c>
      <c r="K209" s="621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IFERROR(__xludf.DUMMYFUNCTION("IMPORTRANGE(""https://docs.google.com/spreadsheets/d/1eHaY18a8A9IcSdp1K8H6x8fbOy06t2VsZHhMHf-1x7Y/edit?usp=sharing"",""แผน!JX43"")"),3)</f>
        <v>3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IFERROR(__xludf.DUMMYFUNCTION("IMPORTRANGE(""https://docs.google.com/spreadsheets/d/1eHaY18a8A9IcSdp1K8H6x8fbOy06t2VsZHhMHf-1x7Y/edit?usp=sharing"",""แผน!JY43"")"),1)</f>
        <v>1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2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28000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IFERROR(__xludf.DUMMYFUNCTION("IMPORTRANGE(""https://docs.google.com/spreadsheets/d/1eHaY18a8A9IcSdp1K8H6x8fbOy06t2VsZHhMHf-1x7Y/edit?usp=sharing"",""แผน!AM43"")"),2000)</f>
        <v>2000</v>
      </c>
      <c r="M215" s="428"/>
      <c r="N215" s="683">
        <v>0</v>
      </c>
      <c r="O215" s="525"/>
      <c r="P215" s="428"/>
    </row>
    <row r="216" spans="1:16" ht="18.75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IFERROR(__xludf.DUMMYFUNCTION("IMPORTRANGE(""https://docs.google.com/spreadsheets/d/1eHaY18a8A9IcSdp1K8H6x8fbOy06t2VsZHhMHf-1x7Y/edit?usp=sharing"",""แผน!AN43"")"),10000)</f>
        <v>10000</v>
      </c>
      <c r="M216" s="428"/>
      <c r="N216" s="683">
        <v>0</v>
      </c>
      <c r="O216" s="525"/>
      <c r="P216" s="428"/>
    </row>
    <row r="217" spans="1:16" ht="18.75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IFERROR(__xludf.DUMMYFUNCTION("IMPORTRANGE(""https://docs.google.com/spreadsheets/d/1eHaY18a8A9IcSdp1K8H6x8fbOy06t2VsZHhMHf-1x7Y/edit?usp=sharing"",""แผน!AO43"")"),16000)</f>
        <v>16000</v>
      </c>
      <c r="M217" s="428"/>
      <c r="N217" s="683">
        <v>0</v>
      </c>
      <c r="O217" s="525"/>
      <c r="P217" s="428"/>
    </row>
    <row r="218" spans="1:16" ht="19.5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IFERROR(__xludf.DUMMYFUNCTION("IMPORTRANGE(""https://docs.google.com/spreadsheets/d/1eHaY18a8A9IcSdp1K8H6x8fbOy06t2VsZHhMHf-1x7Y/edit?usp=sharing"",""แผน!AP43"")"),2)</f>
        <v>2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IFERROR(__xludf.DUMMYFUNCTION("IMPORTRANGE(""https://docs.google.com/spreadsheets/d/1eHaY18a8A9IcSdp1K8H6x8fbOy06t2VsZHhMHf-1x7Y/edit?usp=sharing"",""แผน!AP43"")"),2)</f>
        <v>2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128000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16500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2" t="s">
        <v>156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IFERROR(__xludf.DUMMYFUNCTION("IMPORTRANGE(""https://docs.google.com/spreadsheets/d/1eHaY18a8A9IcSdp1K8H6x8fbOy06t2VsZHhMHf-1x7Y/edit?usp=sharing"",""แผน!AR43"")"),15000)</f>
        <v>15000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IFERROR(__xludf.DUMMYFUNCTION("IMPORTRANGE(""https://docs.google.com/spreadsheets/d/1eHaY18a8A9IcSdp1K8H6x8fbOy06t2VsZHhMHf-1x7Y/edit?usp=sharing"",""แผน!AS43"")"),1500)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IFERROR(__xludf.DUMMYFUNCTION("IMPORTRANGE(""https://docs.google.com/spreadsheets/d/1eHaY18a8A9IcSdp1K8H6x8fbOy06t2VsZHhMHf-1x7Y/edit?usp=sharing"",""แผน!AT43"")"),0)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IFERROR(__xludf.DUMMYFUNCTION("IMPORTRANGE(""https://docs.google.com/spreadsheets/d/1eHaY18a8A9IcSdp1K8H6x8fbOy06t2VsZHhMHf-1x7Y/edit?usp=sharing"",""แผน!AV43"")"),128000)</f>
        <v>128000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IFERROR(__xludf.DUMMYFUNCTION("IMPORTRANGE(""https://docs.google.com/spreadsheets/d/1eHaY18a8A9IcSdp1K8H6x8fbOy06t2VsZHhMHf-1x7Y/edit?usp=sharing"",""แผน!AV43"")"),128000)</f>
        <v>128000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IFERROR(__xludf.DUMMYFUNCTION("IMPORTRANGE(""https://docs.google.com/spreadsheets/d/1eHaY18a8A9IcSdp1K8H6x8fbOy06t2VsZHhMHf-1x7Y/edit?usp=sharing"",""แผน!AU43"")"),0)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432"/>
      <c r="B231" s="434"/>
      <c r="C231" s="682" t="s">
        <v>99</v>
      </c>
      <c r="D231" s="433"/>
      <c r="E231" s="433"/>
      <c r="F231" s="433"/>
      <c r="G231" s="436"/>
      <c r="H231" s="437" t="s">
        <v>33</v>
      </c>
      <c r="I231" s="438">
        <f ca="1">I242+I253</f>
        <v>0</v>
      </c>
      <c r="J231" s="438">
        <f>J242+J253</f>
        <v>0</v>
      </c>
      <c r="K231" s="439">
        <f ca="1">IF(I231&gt;0,J231*100/I231,0)</f>
        <v>0</v>
      </c>
      <c r="L231" s="571"/>
      <c r="M231" s="571"/>
      <c r="N231" s="571"/>
      <c r="O231" s="571"/>
      <c r="P231" s="571"/>
    </row>
    <row r="232" spans="1:16" ht="19.5" hidden="1" x14ac:dyDescent="0.3">
      <c r="A232" s="535"/>
      <c r="B232" s="418"/>
      <c r="C232" s="570" t="s">
        <v>16</v>
      </c>
      <c r="D232" s="579" t="s">
        <v>17</v>
      </c>
      <c r="E232" s="418"/>
      <c r="F232" s="418"/>
      <c r="G232" s="422"/>
      <c r="H232" s="681" t="s">
        <v>12</v>
      </c>
      <c r="I232" s="526"/>
      <c r="J232" s="526"/>
      <c r="K232" s="525"/>
      <c r="L232" s="577">
        <f ca="1">L243+L254</f>
        <v>0</v>
      </c>
      <c r="M232" s="428"/>
      <c r="N232" s="577">
        <f>N243+N254</f>
        <v>0</v>
      </c>
      <c r="O232" s="428"/>
      <c r="P232" s="428"/>
    </row>
    <row r="233" spans="1:16" ht="18.75" hidden="1" x14ac:dyDescent="0.25">
      <c r="A233" s="535"/>
      <c r="B233" s="419"/>
      <c r="C233" s="418"/>
      <c r="D233" s="293" t="s">
        <v>80</v>
      </c>
      <c r="E233" s="418"/>
      <c r="F233" s="418"/>
      <c r="G233" s="422"/>
      <c r="H233" s="576" t="s">
        <v>12</v>
      </c>
      <c r="I233" s="526"/>
      <c r="J233" s="526"/>
      <c r="K233" s="525"/>
      <c r="L233" s="425">
        <f ca="1">L244+L255</f>
        <v>0</v>
      </c>
      <c r="M233" s="428"/>
      <c r="N233" s="425">
        <f>N244+N255</f>
        <v>0</v>
      </c>
      <c r="O233" s="428"/>
      <c r="P233" s="428"/>
    </row>
    <row r="234" spans="1:16" ht="18.75" hidden="1" x14ac:dyDescent="0.25">
      <c r="A234" s="417"/>
      <c r="B234" s="419"/>
      <c r="C234" s="419"/>
      <c r="D234" s="293" t="s">
        <v>82</v>
      </c>
      <c r="E234" s="418"/>
      <c r="F234" s="418"/>
      <c r="G234" s="422"/>
      <c r="H234" s="576" t="s">
        <v>12</v>
      </c>
      <c r="I234" s="427"/>
      <c r="J234" s="427"/>
      <c r="K234" s="428"/>
      <c r="L234" s="425">
        <f ca="1">L245+L256</f>
        <v>0</v>
      </c>
      <c r="M234" s="428"/>
      <c r="N234" s="425">
        <f>N245+N256</f>
        <v>0</v>
      </c>
      <c r="O234" s="428"/>
      <c r="P234" s="428"/>
    </row>
    <row r="235" spans="1:16" ht="18.75" hidden="1" x14ac:dyDescent="0.25">
      <c r="A235" s="417"/>
      <c r="B235" s="419"/>
      <c r="C235" s="419"/>
      <c r="D235" s="293" t="s">
        <v>100</v>
      </c>
      <c r="E235" s="418"/>
      <c r="F235" s="418"/>
      <c r="G235" s="422"/>
      <c r="H235" s="576" t="s">
        <v>12</v>
      </c>
      <c r="I235" s="427"/>
      <c r="J235" s="427"/>
      <c r="K235" s="428"/>
      <c r="L235" s="425">
        <f ca="1">L246+L257</f>
        <v>0</v>
      </c>
      <c r="M235" s="428"/>
      <c r="N235" s="425">
        <f>N246+N257</f>
        <v>0</v>
      </c>
      <c r="O235" s="428"/>
      <c r="P235" s="428"/>
    </row>
    <row r="236" spans="1:16" ht="18.75" hidden="1" x14ac:dyDescent="0.25">
      <c r="A236" s="417"/>
      <c r="B236" s="419"/>
      <c r="C236" s="419"/>
      <c r="D236" s="293" t="s">
        <v>101</v>
      </c>
      <c r="E236" s="418"/>
      <c r="F236" s="418"/>
      <c r="G236" s="422"/>
      <c r="H236" s="576" t="s">
        <v>12</v>
      </c>
      <c r="I236" s="427"/>
      <c r="J236" s="427"/>
      <c r="K236" s="428"/>
      <c r="L236" s="425">
        <f ca="1">L247+L258</f>
        <v>0</v>
      </c>
      <c r="M236" s="428"/>
      <c r="N236" s="425">
        <f>N247+N258</f>
        <v>0</v>
      </c>
      <c r="O236" s="428"/>
      <c r="P236" s="428"/>
    </row>
    <row r="237" spans="1:16" ht="19.5" hidden="1" x14ac:dyDescent="0.3">
      <c r="A237" s="532"/>
      <c r="B237" s="430"/>
      <c r="C237" s="680" t="s">
        <v>16</v>
      </c>
      <c r="D237" s="569" t="s">
        <v>36</v>
      </c>
      <c r="E237" s="529"/>
      <c r="F237" s="529"/>
      <c r="G237" s="528"/>
      <c r="H237" s="527"/>
      <c r="I237" s="526"/>
      <c r="J237" s="427"/>
      <c r="K237" s="428"/>
      <c r="L237" s="428"/>
      <c r="M237" s="428"/>
      <c r="N237" s="428"/>
      <c r="O237" s="525"/>
      <c r="P237" s="525"/>
    </row>
    <row r="238" spans="1:16" ht="18.75" hidden="1" x14ac:dyDescent="0.25">
      <c r="A238" s="532"/>
      <c r="B238" s="430"/>
      <c r="C238" s="430"/>
      <c r="D238" s="421" t="s">
        <v>102</v>
      </c>
      <c r="E238" s="420"/>
      <c r="F238" s="420"/>
      <c r="G238" s="527"/>
      <c r="H238" s="566" t="s">
        <v>33</v>
      </c>
      <c r="I238" s="424">
        <f ca="1">I249+I260</f>
        <v>0</v>
      </c>
      <c r="J238" s="424">
        <f>J249+J260</f>
        <v>0</v>
      </c>
      <c r="K238" s="425">
        <f ca="1">IF(I238&gt;0,J238*100/I238,0)</f>
        <v>0</v>
      </c>
      <c r="L238" s="428"/>
      <c r="M238" s="428"/>
      <c r="N238" s="428"/>
      <c r="O238" s="428"/>
      <c r="P238" s="428"/>
    </row>
    <row r="239" spans="1:16" ht="18.75" hidden="1" x14ac:dyDescent="0.25">
      <c r="A239" s="532"/>
      <c r="B239" s="430"/>
      <c r="C239" s="430"/>
      <c r="D239" s="679" t="s">
        <v>41</v>
      </c>
      <c r="E239" s="420"/>
      <c r="F239" s="420"/>
      <c r="G239" s="527"/>
      <c r="H239" s="527"/>
      <c r="I239" s="427"/>
      <c r="J239" s="427"/>
      <c r="K239" s="428"/>
      <c r="L239" s="428"/>
      <c r="M239" s="428"/>
      <c r="N239" s="428"/>
      <c r="O239" s="525"/>
      <c r="P239" s="525"/>
    </row>
    <row r="240" spans="1:16" ht="18.75" hidden="1" x14ac:dyDescent="0.25">
      <c r="A240" s="532"/>
      <c r="B240" s="430"/>
      <c r="C240" s="430"/>
      <c r="D240" s="430"/>
      <c r="E240" s="567" t="s">
        <v>103</v>
      </c>
      <c r="F240" s="420"/>
      <c r="G240" s="527"/>
      <c r="H240" s="566" t="s">
        <v>33</v>
      </c>
      <c r="I240" s="424">
        <f>I251+I262</f>
        <v>0</v>
      </c>
      <c r="J240" s="424">
        <f>J251+J262</f>
        <v>0</v>
      </c>
      <c r="K240" s="425">
        <f>IF(I240&gt;0,J240*100/I240,0)</f>
        <v>0</v>
      </c>
      <c r="L240" s="428"/>
      <c r="M240" s="428"/>
      <c r="N240" s="428"/>
      <c r="O240" s="428"/>
      <c r="P240" s="428"/>
    </row>
    <row r="241" spans="1:16" ht="18.75" hidden="1" x14ac:dyDescent="0.25">
      <c r="A241" s="532"/>
      <c r="B241" s="430"/>
      <c r="C241" s="430"/>
      <c r="D241" s="430"/>
      <c r="E241" s="567" t="s">
        <v>104</v>
      </c>
      <c r="F241" s="420"/>
      <c r="G241" s="527"/>
      <c r="H241" s="566" t="s">
        <v>54</v>
      </c>
      <c r="I241" s="424">
        <f>I252+I263</f>
        <v>0</v>
      </c>
      <c r="J241" s="424">
        <f>J252+J263</f>
        <v>0</v>
      </c>
      <c r="K241" s="425">
        <f>IF(I241&gt;0,J241*100/I241,0)</f>
        <v>0</v>
      </c>
      <c r="L241" s="428"/>
      <c r="M241" s="428"/>
      <c r="N241" s="428"/>
      <c r="O241" s="428"/>
      <c r="P241" s="428"/>
    </row>
    <row r="242" spans="1:16" ht="19.5" hidden="1" x14ac:dyDescent="0.3">
      <c r="A242" s="432"/>
      <c r="B242" s="434"/>
      <c r="C242" s="678" t="s">
        <v>105</v>
      </c>
      <c r="D242" s="433"/>
      <c r="E242" s="433"/>
      <c r="F242" s="433"/>
      <c r="G242" s="436"/>
      <c r="H242" s="677" t="s">
        <v>33</v>
      </c>
      <c r="I242" s="676">
        <f ca="1">I249</f>
        <v>0</v>
      </c>
      <c r="J242" s="676">
        <f>J249</f>
        <v>0</v>
      </c>
      <c r="K242" s="675">
        <f ca="1">IF(I242&gt;0,J242*100/I242,0)</f>
        <v>0</v>
      </c>
      <c r="L242" s="571"/>
      <c r="M242" s="571"/>
      <c r="N242" s="571"/>
      <c r="O242" s="571"/>
      <c r="P242" s="571"/>
    </row>
    <row r="243" spans="1:16" ht="19.5" hidden="1" x14ac:dyDescent="0.3">
      <c r="A243" s="535"/>
      <c r="B243" s="418"/>
      <c r="C243" s="531" t="s">
        <v>16</v>
      </c>
      <c r="D243" s="541" t="s">
        <v>17</v>
      </c>
      <c r="E243" s="418"/>
      <c r="F243" s="418"/>
      <c r="G243" s="422"/>
      <c r="H243" s="673" t="s">
        <v>12</v>
      </c>
      <c r="I243" s="526"/>
      <c r="J243" s="526"/>
      <c r="K243" s="525"/>
      <c r="L243" s="539">
        <f ca="1">L244+L245+L246+L247</f>
        <v>0</v>
      </c>
      <c r="M243" s="428"/>
      <c r="N243" s="539">
        <f>N244+N245+N246+N247</f>
        <v>0</v>
      </c>
      <c r="O243" s="539">
        <f ca="1">IF(L243&gt;0,N243*100/L243,0)</f>
        <v>0</v>
      </c>
      <c r="P243" s="539">
        <f>IF(M243&gt;0,N243*100/M243,0)</f>
        <v>0</v>
      </c>
    </row>
    <row r="244" spans="1:16" ht="18.75" hidden="1" x14ac:dyDescent="0.25">
      <c r="A244" s="535"/>
      <c r="B244" s="419"/>
      <c r="C244" s="418"/>
      <c r="D244" s="534" t="s">
        <v>80</v>
      </c>
      <c r="E244" s="418"/>
      <c r="F244" s="418"/>
      <c r="G244" s="422"/>
      <c r="H244" s="536" t="s">
        <v>12</v>
      </c>
      <c r="I244" s="526"/>
      <c r="J244" s="526"/>
      <c r="K244" s="525"/>
      <c r="L244" s="521">
        <f ca="1">IFERROR(__xludf.DUMMYFUNCTION("IMPORTRANGE(""https://docs.google.com/spreadsheets/d/1eHaY18a8A9IcSdp1K8H6x8fbOy06t2VsZHhMHf-1x7Y/edit?usp=sharing"",""แผน!AX43"")"),0)</f>
        <v>0</v>
      </c>
      <c r="M244" s="428"/>
      <c r="N244" s="672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34" t="s">
        <v>82</v>
      </c>
      <c r="E245" s="418"/>
      <c r="F245" s="418"/>
      <c r="G245" s="422"/>
      <c r="H245" s="536" t="s">
        <v>12</v>
      </c>
      <c r="I245" s="427"/>
      <c r="J245" s="427"/>
      <c r="K245" s="428"/>
      <c r="L245" s="521">
        <f ca="1">IFERROR(__xludf.DUMMYFUNCTION("IMPORTRANGE(""https://docs.google.com/spreadsheets/d/1eHaY18a8A9IcSdp1K8H6x8fbOy06t2VsZHhMHf-1x7Y/edit?usp=sharing"",""แผน!AY43"")"),0)</f>
        <v>0</v>
      </c>
      <c r="M245" s="428"/>
      <c r="N245" s="672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34" t="s">
        <v>100</v>
      </c>
      <c r="E246" s="418"/>
      <c r="F246" s="418"/>
      <c r="G246" s="422"/>
      <c r="H246" s="536" t="s">
        <v>12</v>
      </c>
      <c r="I246" s="427"/>
      <c r="J246" s="427"/>
      <c r="K246" s="428"/>
      <c r="L246" s="521">
        <f ca="1">IFERROR(__xludf.DUMMYFUNCTION("IMPORTRANGE(""https://docs.google.com/spreadsheets/d/1eHaY18a8A9IcSdp1K8H6x8fbOy06t2VsZHhMHf-1x7Y/edit?usp=sharing"",""แผน!AZ43"")"),0)</f>
        <v>0</v>
      </c>
      <c r="M246" s="428"/>
      <c r="N246" s="672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34" t="s">
        <v>101</v>
      </c>
      <c r="E247" s="418"/>
      <c r="F247" s="418"/>
      <c r="G247" s="422"/>
      <c r="H247" s="536" t="s">
        <v>12</v>
      </c>
      <c r="I247" s="427"/>
      <c r="J247" s="427"/>
      <c r="K247" s="428"/>
      <c r="L247" s="521">
        <f ca="1">IFERROR(__xludf.DUMMYFUNCTION("IMPORTRANGE(""https://docs.google.com/spreadsheets/d/1eHaY18a8A9IcSdp1K8H6x8fbOy06t2VsZHhMHf-1x7Y/edit?usp=sharing"",""แผน!BA43"")"),0)</f>
        <v>0</v>
      </c>
      <c r="M247" s="428"/>
      <c r="N247" s="672">
        <v>0</v>
      </c>
      <c r="O247" s="428"/>
      <c r="P247" s="428"/>
    </row>
    <row r="248" spans="1:16" ht="19.5" hidden="1" x14ac:dyDescent="0.3">
      <c r="A248" s="532"/>
      <c r="B248" s="430"/>
      <c r="C248" s="671" t="s">
        <v>16</v>
      </c>
      <c r="D248" s="530" t="s">
        <v>36</v>
      </c>
      <c r="E248" s="529"/>
      <c r="F248" s="529"/>
      <c r="G248" s="528"/>
      <c r="H248" s="527"/>
      <c r="I248" s="526"/>
      <c r="J248" s="427"/>
      <c r="K248" s="428"/>
      <c r="L248" s="428"/>
      <c r="M248" s="428"/>
      <c r="N248" s="428"/>
      <c r="O248" s="525"/>
      <c r="P248" s="525"/>
    </row>
    <row r="249" spans="1:16" ht="18.75" hidden="1" x14ac:dyDescent="0.25">
      <c r="A249" s="532"/>
      <c r="B249" s="430"/>
      <c r="C249" s="430"/>
      <c r="D249" s="524" t="s">
        <v>102</v>
      </c>
      <c r="E249" s="420"/>
      <c r="F249" s="420"/>
      <c r="G249" s="527"/>
      <c r="H249" s="668" t="s">
        <v>33</v>
      </c>
      <c r="I249" s="199">
        <f ca="1">IFERROR(__xludf.DUMMYFUNCTION("IMPORTRANGE(""https://docs.google.com/spreadsheets/d/1eHaY18a8A9IcSdp1K8H6x8fbOy06t2VsZHhMHf-1x7Y/edit?usp=sharing"",""แผน!BG43"")"),0)</f>
        <v>0</v>
      </c>
      <c r="J249" s="522">
        <v>0</v>
      </c>
      <c r="K249" s="521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2"/>
      <c r="B250" s="430"/>
      <c r="C250" s="430"/>
      <c r="D250" s="670" t="s">
        <v>41</v>
      </c>
      <c r="E250" s="420"/>
      <c r="F250" s="420"/>
      <c r="G250" s="527"/>
      <c r="H250" s="527"/>
      <c r="I250" s="427"/>
      <c r="J250" s="427"/>
      <c r="K250" s="428"/>
      <c r="L250" s="428"/>
      <c r="M250" s="428"/>
      <c r="N250" s="428"/>
      <c r="O250" s="525"/>
      <c r="P250" s="525"/>
    </row>
    <row r="251" spans="1:16" ht="18.75" hidden="1" x14ac:dyDescent="0.25">
      <c r="A251" s="532"/>
      <c r="B251" s="430"/>
      <c r="C251" s="430"/>
      <c r="D251" s="430"/>
      <c r="E251" s="669" t="s">
        <v>103</v>
      </c>
      <c r="F251" s="420"/>
      <c r="G251" s="527"/>
      <c r="H251" s="668" t="s">
        <v>33</v>
      </c>
      <c r="I251" s="199">
        <v>0</v>
      </c>
      <c r="J251" s="522">
        <v>0</v>
      </c>
      <c r="K251" s="521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2"/>
      <c r="B252" s="430"/>
      <c r="C252" s="430"/>
      <c r="D252" s="430"/>
      <c r="E252" s="669" t="s">
        <v>104</v>
      </c>
      <c r="F252" s="420"/>
      <c r="G252" s="527"/>
      <c r="H252" s="668" t="s">
        <v>54</v>
      </c>
      <c r="I252" s="199">
        <v>0</v>
      </c>
      <c r="J252" s="522">
        <v>0</v>
      </c>
      <c r="K252" s="521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78" t="s">
        <v>106</v>
      </c>
      <c r="D253" s="433"/>
      <c r="E253" s="433"/>
      <c r="F253" s="433"/>
      <c r="G253" s="436"/>
      <c r="H253" s="677" t="s">
        <v>33</v>
      </c>
      <c r="I253" s="676">
        <f ca="1">I260</f>
        <v>0</v>
      </c>
      <c r="J253" s="676">
        <f>J260</f>
        <v>0</v>
      </c>
      <c r="K253" s="675">
        <f ca="1">IF(I253&gt;0,J253*100/I253,0)</f>
        <v>0</v>
      </c>
      <c r="L253" s="571"/>
      <c r="M253" s="571"/>
      <c r="N253" s="571"/>
      <c r="O253" s="571"/>
      <c r="P253" s="571"/>
    </row>
    <row r="254" spans="1:16" ht="19.5" hidden="1" x14ac:dyDescent="0.3">
      <c r="A254" s="535"/>
      <c r="B254" s="418"/>
      <c r="C254" s="531" t="s">
        <v>16</v>
      </c>
      <c r="D254" s="674" t="s">
        <v>17</v>
      </c>
      <c r="E254" s="418"/>
      <c r="F254" s="418"/>
      <c r="G254" s="422"/>
      <c r="H254" s="673" t="s">
        <v>12</v>
      </c>
      <c r="I254" s="526"/>
      <c r="J254" s="526"/>
      <c r="K254" s="525"/>
      <c r="L254" s="539">
        <f ca="1">L255+L256+L257+L258</f>
        <v>0</v>
      </c>
      <c r="M254" s="428"/>
      <c r="N254" s="539">
        <f>N255+N256+N257+N258</f>
        <v>0</v>
      </c>
      <c r="O254" s="539">
        <f ca="1">IF(L254&gt;0,N254*100/L254,0)</f>
        <v>0</v>
      </c>
      <c r="P254" s="539">
        <f>IF(M254&gt;0,N254*100/M254,0)</f>
        <v>0</v>
      </c>
    </row>
    <row r="255" spans="1:16" ht="18.75" hidden="1" x14ac:dyDescent="0.25">
      <c r="A255" s="535"/>
      <c r="B255" s="419"/>
      <c r="C255" s="418"/>
      <c r="D255" s="534" t="s">
        <v>80</v>
      </c>
      <c r="E255" s="418"/>
      <c r="F255" s="418"/>
      <c r="G255" s="422"/>
      <c r="H255" s="536" t="s">
        <v>12</v>
      </c>
      <c r="I255" s="526"/>
      <c r="J255" s="526"/>
      <c r="K255" s="525"/>
      <c r="L255" s="521">
        <f ca="1">IFERROR(__xludf.DUMMYFUNCTION("IMPORTRANGE(""https://docs.google.com/spreadsheets/d/1eHaY18a8A9IcSdp1K8H6x8fbOy06t2VsZHhMHf-1x7Y/edit?usp=sharing"",""แผน!BB43"")"),0)</f>
        <v>0</v>
      </c>
      <c r="M255" s="428"/>
      <c r="N255" s="672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34" t="s">
        <v>82</v>
      </c>
      <c r="E256" s="418"/>
      <c r="F256" s="418"/>
      <c r="G256" s="422"/>
      <c r="H256" s="536" t="s">
        <v>12</v>
      </c>
      <c r="I256" s="427"/>
      <c r="J256" s="427"/>
      <c r="K256" s="428"/>
      <c r="L256" s="521">
        <f ca="1">IFERROR(__xludf.DUMMYFUNCTION("IMPORTRANGE(""https://docs.google.com/spreadsheets/d/1eHaY18a8A9IcSdp1K8H6x8fbOy06t2VsZHhMHf-1x7Y/edit?usp=sharing"",""แผน!BC43"")"),0)</f>
        <v>0</v>
      </c>
      <c r="M256" s="428"/>
      <c r="N256" s="672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34" t="s">
        <v>100</v>
      </c>
      <c r="E257" s="418"/>
      <c r="F257" s="418"/>
      <c r="G257" s="422"/>
      <c r="H257" s="536" t="s">
        <v>12</v>
      </c>
      <c r="I257" s="427"/>
      <c r="J257" s="427"/>
      <c r="K257" s="428"/>
      <c r="L257" s="521">
        <f ca="1">IFERROR(__xludf.DUMMYFUNCTION("IMPORTRANGE(""https://docs.google.com/spreadsheets/d/1eHaY18a8A9IcSdp1K8H6x8fbOy06t2VsZHhMHf-1x7Y/edit?usp=sharing"",""แผน!BD43"")"),0)</f>
        <v>0</v>
      </c>
      <c r="M257" s="428"/>
      <c r="N257" s="672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34" t="s">
        <v>101</v>
      </c>
      <c r="E258" s="418"/>
      <c r="F258" s="418"/>
      <c r="G258" s="422"/>
      <c r="H258" s="536" t="s">
        <v>12</v>
      </c>
      <c r="I258" s="427"/>
      <c r="J258" s="427"/>
      <c r="K258" s="428"/>
      <c r="L258" s="521">
        <f ca="1">IFERROR(__xludf.DUMMYFUNCTION("IMPORTRANGE(""https://docs.google.com/spreadsheets/d/1eHaY18a8A9IcSdp1K8H6x8fbOy06t2VsZHhMHf-1x7Y/edit?usp=sharing"",""แผน!BE43"")"),0)</f>
        <v>0</v>
      </c>
      <c r="M258" s="428"/>
      <c r="N258" s="672">
        <v>0</v>
      </c>
      <c r="O258" s="428"/>
      <c r="P258" s="428"/>
    </row>
    <row r="259" spans="1:16" ht="19.5" hidden="1" x14ac:dyDescent="0.3">
      <c r="A259" s="532"/>
      <c r="B259" s="430"/>
      <c r="C259" s="671" t="s">
        <v>16</v>
      </c>
      <c r="D259" s="530" t="s">
        <v>36</v>
      </c>
      <c r="E259" s="529"/>
      <c r="F259" s="529"/>
      <c r="G259" s="528"/>
      <c r="H259" s="527"/>
      <c r="I259" s="526"/>
      <c r="J259" s="427"/>
      <c r="K259" s="428"/>
      <c r="L259" s="428"/>
      <c r="M259" s="428"/>
      <c r="N259" s="428"/>
      <c r="O259" s="525"/>
      <c r="P259" s="525"/>
    </row>
    <row r="260" spans="1:16" ht="18.75" hidden="1" x14ac:dyDescent="0.25">
      <c r="A260" s="532"/>
      <c r="B260" s="430"/>
      <c r="C260" s="430"/>
      <c r="D260" s="524" t="s">
        <v>102</v>
      </c>
      <c r="E260" s="420"/>
      <c r="F260" s="420"/>
      <c r="G260" s="527"/>
      <c r="H260" s="668" t="s">
        <v>33</v>
      </c>
      <c r="I260" s="199">
        <f ca="1">IFERROR(__xludf.DUMMYFUNCTION("IMPORTRANGE(""https://docs.google.com/spreadsheets/d/1eHaY18a8A9IcSdp1K8H6x8fbOy06t2VsZHhMHf-1x7Y/edit?usp=sharing"",""แผน!BH43"")"),0)</f>
        <v>0</v>
      </c>
      <c r="J260" s="522">
        <v>0</v>
      </c>
      <c r="K260" s="521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2"/>
      <c r="B261" s="430"/>
      <c r="C261" s="430"/>
      <c r="D261" s="670" t="s">
        <v>41</v>
      </c>
      <c r="E261" s="420"/>
      <c r="F261" s="420"/>
      <c r="G261" s="527"/>
      <c r="H261" s="527"/>
      <c r="I261" s="427"/>
      <c r="J261" s="427"/>
      <c r="K261" s="428"/>
      <c r="L261" s="428"/>
      <c r="M261" s="428"/>
      <c r="N261" s="428"/>
      <c r="O261" s="525"/>
      <c r="P261" s="525"/>
    </row>
    <row r="262" spans="1:16" ht="18.75" hidden="1" x14ac:dyDescent="0.25">
      <c r="A262" s="532"/>
      <c r="B262" s="430"/>
      <c r="C262" s="430"/>
      <c r="D262" s="430"/>
      <c r="E262" s="669" t="s">
        <v>103</v>
      </c>
      <c r="F262" s="420"/>
      <c r="G262" s="527"/>
      <c r="H262" s="668" t="s">
        <v>33</v>
      </c>
      <c r="I262" s="427"/>
      <c r="J262" s="522">
        <v>0</v>
      </c>
      <c r="K262" s="521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2"/>
      <c r="B263" s="430"/>
      <c r="C263" s="430"/>
      <c r="D263" s="430"/>
      <c r="E263" s="669" t="s">
        <v>104</v>
      </c>
      <c r="F263" s="420"/>
      <c r="G263" s="527"/>
      <c r="H263" s="668" t="s">
        <v>54</v>
      </c>
      <c r="I263" s="427"/>
      <c r="J263" s="522">
        <v>0</v>
      </c>
      <c r="K263" s="521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IFERROR(__xludf.DUMMYFUNCTION("IMPORTRANGE(""https://docs.google.com/spreadsheets/d/1-uDff_7J0KD5mKrp0Vvzr7lt3OU09vwQwhkpOPPYv2Y/edit?usp=sharing"",""งบพรบ!DE43"")"),0)</f>
        <v>0</v>
      </c>
      <c r="M271" s="521">
        <f ca="1">IFERROR(__xludf.DUMMYFUNCTION("IMPORTRANGE(""https://docs.google.com/spreadsheets/d/1-uDff_7J0KD5mKrp0Vvzr7lt3OU09vwQwhkpOPPYv2Y/edit?usp=sharing"",""งบพรบ!DJ43"")"),0)</f>
        <v>0</v>
      </c>
      <c r="N271" s="521">
        <f ca="1">IFERROR(__xludf.DUMMYFUNCTION("IMPORTRANGE(""https://docs.google.com/spreadsheets/d/1-uDff_7J0KD5mKrp0Vvzr7lt3OU09vwQwhkpOPPYv2Y/edit?usp=sharing"",""งบพรบ!DL43"")"),0)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IFERROR(__xludf.DUMMYFUNCTION("IMPORTRANGE(""https://docs.google.com/spreadsheets/d/1-uDff_7J0KD5mKrp0Vvzr7lt3OU09vwQwhkpOPPYv2Y/edit?usp=sharing"",""งบพรบ!DH43"")"),0)</f>
        <v>0</v>
      </c>
      <c r="M274" s="521">
        <f ca="1">IFERROR(__xludf.DUMMYFUNCTION("IMPORTRANGE(""https://docs.google.com/spreadsheets/d/1-uDff_7J0KD5mKrp0Vvzr7lt3OU09vwQwhkpOPPYv2Y/edit?usp=sharing"",""งบพรบ!DK43"")"),0)</f>
        <v>0</v>
      </c>
      <c r="N274" s="521">
        <f ca="1">IFERROR(__xludf.DUMMYFUNCTION("IMPORTRANGE(""https://docs.google.com/spreadsheets/d/1-uDff_7J0KD5mKrp0Vvzr7lt3OU09vwQwhkpOPPYv2Y/edit?usp=sharing"",""งบพรบ!DM43"")"),0)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hidden="1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hidden="1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hidden="1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0</v>
      </c>
      <c r="J280" s="629">
        <f>J293</f>
        <v>0</v>
      </c>
      <c r="K280" s="628">
        <f ca="1">IF(I280&gt;0,J280*100/I280,0)</f>
        <v>0</v>
      </c>
      <c r="L280" s="627"/>
      <c r="M280" s="627"/>
      <c r="N280" s="627"/>
      <c r="O280" s="627"/>
      <c r="P280" s="627"/>
    </row>
    <row r="281" spans="1:16" ht="19.5" hidden="1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0</v>
      </c>
      <c r="J281" s="629">
        <f>J292</f>
        <v>0</v>
      </c>
      <c r="K281" s="628">
        <f ca="1">IF(I281&gt;0,J281*100/I281,0)</f>
        <v>0</v>
      </c>
      <c r="L281" s="627"/>
      <c r="M281" s="627"/>
      <c r="N281" s="627"/>
      <c r="O281" s="627"/>
      <c r="P281" s="627"/>
    </row>
    <row r="282" spans="1:16" ht="19.5" hidden="1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0</v>
      </c>
      <c r="M282" s="577">
        <f ca="1">M283+M284</f>
        <v>0</v>
      </c>
      <c r="N282" s="577">
        <f ca="1">N283+N284</f>
        <v>0</v>
      </c>
      <c r="O282" s="577">
        <f ca="1">IF(L282&gt;0,N282*100/L282,0)</f>
        <v>0</v>
      </c>
      <c r="P282" s="577">
        <f ca="1">IF(M282&gt;0,N282*100/M282,0)</f>
        <v>0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hidden="1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0</v>
      </c>
      <c r="M284" s="425">
        <f ca="1">M287+M290</f>
        <v>0</v>
      </c>
      <c r="N284" s="425">
        <f ca="1">N287+N290</f>
        <v>0</v>
      </c>
      <c r="O284" s="425">
        <f ca="1">IF(L284&gt;0,N284*100/L284,0)</f>
        <v>0</v>
      </c>
      <c r="P284" s="425">
        <f ca="1">IF(M284&gt;0,N284*100/M284,0)</f>
        <v>0</v>
      </c>
    </row>
    <row r="285" spans="1:16" ht="18.75" hidden="1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0</v>
      </c>
      <c r="M285" s="425">
        <f ca="1">M286+M287</f>
        <v>0</v>
      </c>
      <c r="N285" s="425">
        <f ca="1">N286+N287</f>
        <v>0</v>
      </c>
      <c r="O285" s="425">
        <f ca="1">IF(L285&gt;0,N285*100/L285,0)</f>
        <v>0</v>
      </c>
      <c r="P285" s="425">
        <f ca="1">IF(M285&gt;0,N285*100/M285,0)</f>
        <v>0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hidden="1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IFERROR(__xludf.DUMMYFUNCTION("IMPORTRANGE(""https://docs.google.com/spreadsheets/d/1-uDff_7J0KD5mKrp0Vvzr7lt3OU09vwQwhkpOPPYv2Y/edit?usp=sharing"",""งบพรบ!DO43"")"),0)</f>
        <v>0</v>
      </c>
      <c r="M287" s="425">
        <f ca="1">IFERROR(__xludf.DUMMYFUNCTION("IMPORTRANGE(""https://docs.google.com/spreadsheets/d/1-uDff_7J0KD5mKrp0Vvzr7lt3OU09vwQwhkpOPPYv2Y/edit?usp=sharing"",""งบพรบ!DT43"")"),0)</f>
        <v>0</v>
      </c>
      <c r="N287" s="425">
        <f ca="1">IFERROR(__xludf.DUMMYFUNCTION("IMPORTRANGE(""https://docs.google.com/spreadsheets/d/1-uDff_7J0KD5mKrp0Vvzr7lt3OU09vwQwhkpOPPYv2Y/edit?usp=sharing"",""งบพรบ!DV43"")"),0)</f>
        <v>0</v>
      </c>
      <c r="O287" s="425">
        <f ca="1">IF(L287&gt;0,N287*100/L287,0)</f>
        <v>0</v>
      </c>
      <c r="P287" s="425">
        <f ca="1">IF(M287&gt;0,N287*100/M287,0)</f>
        <v>0</v>
      </c>
    </row>
    <row r="288" spans="1:16" ht="18.75" hidden="1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hidden="1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IFERROR(__xludf.DUMMYFUNCTION("IMPORTRANGE(""https://docs.google.com/spreadsheets/d/1-uDff_7J0KD5mKrp0Vvzr7lt3OU09vwQwhkpOPPYv2Y/edit?usp=sharing"",""งบพรบ!DR43"")"),0)</f>
        <v>0</v>
      </c>
      <c r="M290" s="425">
        <f ca="1">IFERROR(__xludf.DUMMYFUNCTION("IMPORTRANGE(""https://docs.google.com/spreadsheets/d/1-uDff_7J0KD5mKrp0Vvzr7lt3OU09vwQwhkpOPPYv2Y/edit?usp=sharing"",""งบพรบ!DU43"")"),0)</f>
        <v>0</v>
      </c>
      <c r="N290" s="425">
        <f ca="1">IFERROR(__xludf.DUMMYFUNCTION("IMPORTRANGE(""https://docs.google.com/spreadsheets/d/1-uDff_7J0KD5mKrp0Vvzr7lt3OU09vwQwhkpOPPYv2Y/edit?usp=sharing"",""งบพรบ!DW43"")"),0)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hidden="1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hidden="1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IFERROR(__xludf.DUMMYFUNCTION("IMPORTRANGE(""https://docs.google.com/spreadsheets/d/1eHaY18a8A9IcSdp1K8H6x8fbOy06t2VsZHhMHf-1x7Y/edit?usp=sharing"",""แผน!EE43"")"),0)</f>
        <v>0</v>
      </c>
      <c r="J292" s="595">
        <v>0</v>
      </c>
      <c r="K292" s="621">
        <f ca="1">IF(I292&gt;0,J292*100/I292,0)</f>
        <v>0</v>
      </c>
      <c r="L292" s="525"/>
      <c r="M292" s="525"/>
      <c r="N292" s="525"/>
      <c r="O292" s="525"/>
      <c r="P292" s="525"/>
    </row>
    <row r="293" spans="1:16" ht="19.5" hidden="1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IFERROR(__xludf.DUMMYFUNCTION("IMPORTRANGE(""https://docs.google.com/spreadsheets/d/1eHaY18a8A9IcSdp1K8H6x8fbOy06t2VsZHhMHf-1x7Y/edit?usp=sharing"",""แผน!ED43"")"),0)</f>
        <v>0</v>
      </c>
      <c r="J293" s="625">
        <f>J296</f>
        <v>0</v>
      </c>
      <c r="K293" s="624">
        <f ca="1">IF(I293&gt;0,J293*100/I293,0)</f>
        <v>0</v>
      </c>
      <c r="L293" s="525"/>
      <c r="M293" s="525"/>
      <c r="N293" s="525"/>
      <c r="O293" s="525"/>
      <c r="P293" s="525"/>
    </row>
    <row r="294" spans="1:16" ht="19.5" hidden="1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hidden="1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IFERROR(__xludf.DUMMYFUNCTION("IMPORTRANGE(""https://docs.google.com/spreadsheets/d/1eHaY18a8A9IcSdp1K8H6x8fbOy06t2VsZHhMHf-1x7Y/edit?usp=sharing"",""แผน!ED43"")"),0)</f>
        <v>0</v>
      </c>
      <c r="J295" s="595">
        <v>0</v>
      </c>
      <c r="K295" s="621">
        <f ca="1">IF(I295&gt;0,J295*100/I295,0)</f>
        <v>0</v>
      </c>
      <c r="L295" s="525"/>
      <c r="M295" s="525"/>
      <c r="N295" s="525"/>
      <c r="O295" s="525"/>
      <c r="P295" s="525"/>
    </row>
    <row r="296" spans="1:16" ht="19.5" hidden="1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IFERROR(__xludf.DUMMYFUNCTION("IMPORTRANGE(""https://docs.google.com/spreadsheets/d/1eHaY18a8A9IcSdp1K8H6x8fbOy06t2VsZHhMHf-1x7Y/edit?usp=sharing"",""แผน!ED43"")"),0)</f>
        <v>0</v>
      </c>
      <c r="J296" s="595">
        <v>0</v>
      </c>
      <c r="K296" s="621">
        <f ca="1">IF(I296&gt;0,J296*100/I296,0)</f>
        <v>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hidden="1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hidden="1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hidden="1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0</v>
      </c>
      <c r="J302" s="598">
        <f>J314</f>
        <v>0</v>
      </c>
      <c r="K302" s="597">
        <f ca="1">IF(I302&gt;0,J302*100/I302,0)</f>
        <v>0</v>
      </c>
      <c r="L302" s="580"/>
      <c r="M302" s="580"/>
      <c r="N302" s="580"/>
      <c r="O302" s="580"/>
      <c r="P302" s="580"/>
    </row>
    <row r="303" spans="1:16" ht="19.5" hidden="1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0</v>
      </c>
      <c r="M303" s="577">
        <f ca="1">M304+M305</f>
        <v>0</v>
      </c>
      <c r="N303" s="577">
        <f ca="1">N304+N305</f>
        <v>0</v>
      </c>
      <c r="O303" s="577">
        <f ca="1">IF(L303&gt;0,N303*100/L303,0)</f>
        <v>0</v>
      </c>
      <c r="P303" s="577">
        <f ca="1">IF(M303&gt;0,N303*100/M303,0)</f>
        <v>0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hidden="1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0</v>
      </c>
      <c r="M305" s="425">
        <f ca="1">M308+M311</f>
        <v>0</v>
      </c>
      <c r="N305" s="425">
        <f ca="1">N308+N311</f>
        <v>0</v>
      </c>
      <c r="O305" s="425">
        <f ca="1">IF(L305&gt;0,N305*100/L305,0)</f>
        <v>0</v>
      </c>
      <c r="P305" s="425">
        <f ca="1">IF(M305&gt;0,N305*100/M305,0)</f>
        <v>0</v>
      </c>
    </row>
    <row r="306" spans="1:16" ht="18.75" hidden="1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0</v>
      </c>
      <c r="M306" s="425">
        <f ca="1">M307+M308</f>
        <v>0</v>
      </c>
      <c r="N306" s="425">
        <f ca="1">N307+N308</f>
        <v>0</v>
      </c>
      <c r="O306" s="425">
        <f ca="1">IF(L306&gt;0,N306*100/L306,0)</f>
        <v>0</v>
      </c>
      <c r="P306" s="425">
        <f ca="1">IF(M306&gt;0,N306*100/M306,0)</f>
        <v>0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hidden="1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IFERROR(__xludf.DUMMYFUNCTION("IMPORTRANGE(""https://docs.google.com/spreadsheets/d/1-uDff_7J0KD5mKrp0Vvzr7lt3OU09vwQwhkpOPPYv2Y/edit?usp=sharing"",""งบพรบ!DY43"")"),0)</f>
        <v>0</v>
      </c>
      <c r="M308" s="425">
        <f ca="1">IFERROR(__xludf.DUMMYFUNCTION("IMPORTRANGE(""https://docs.google.com/spreadsheets/d/1-uDff_7J0KD5mKrp0Vvzr7lt3OU09vwQwhkpOPPYv2Y/edit?usp=sharing"",""งบพรบ!ED43"")"),0)</f>
        <v>0</v>
      </c>
      <c r="N308" s="425">
        <f ca="1">IFERROR(__xludf.DUMMYFUNCTION("IMPORTRANGE(""https://docs.google.com/spreadsheets/d/1-uDff_7J0KD5mKrp0Vvzr7lt3OU09vwQwhkpOPPYv2Y/edit?usp=sharing"",""งบพรบ!EF43"")"),0)</f>
        <v>0</v>
      </c>
      <c r="O308" s="425">
        <f ca="1">IF(L308&gt;0,N308*100/L308,0)</f>
        <v>0</v>
      </c>
      <c r="P308" s="425">
        <f ca="1">IF(M308&gt;0,N308*100/M308,0)</f>
        <v>0</v>
      </c>
    </row>
    <row r="309" spans="1:16" ht="18.75" hidden="1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hidden="1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IFERROR(__xludf.DUMMYFUNCTION("IMPORTRANGE(""https://docs.google.com/spreadsheets/d/1-uDff_7J0KD5mKrp0Vvzr7lt3OU09vwQwhkpOPPYv2Y/edit?usp=sharing"",""งบพรบ!EB43"")"),0)</f>
        <v>0</v>
      </c>
      <c r="M311" s="425">
        <f ca="1">IFERROR(__xludf.DUMMYFUNCTION("IMPORTRANGE(""https://docs.google.com/spreadsheets/d/1-uDff_7J0KD5mKrp0Vvzr7lt3OU09vwQwhkpOPPYv2Y/edit?usp=sharing"",""งบพรบ!EE43"")"),0)</f>
        <v>0</v>
      </c>
      <c r="N311" s="425">
        <f ca="1">IFERROR(__xludf.DUMMYFUNCTION("IMPORTRANGE(""https://docs.google.com/spreadsheets/d/1-uDff_7J0KD5mKrp0Vvzr7lt3OU09vwQwhkpOPPYv2Y/edit?usp=sharing"",""งบพรบ!EG43"")"),0)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hidden="1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hidden="1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0</v>
      </c>
      <c r="K313" s="428"/>
      <c r="L313" s="428"/>
      <c r="M313" s="428"/>
      <c r="N313" s="428"/>
      <c r="O313" s="428"/>
      <c r="P313" s="428"/>
    </row>
    <row r="314" spans="1:16" ht="18.75" hidden="1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IFERROR(__xludf.DUMMYFUNCTION("IMPORTRANGE(""https://docs.google.com/spreadsheets/d/1eHaY18a8A9IcSdp1K8H6x8fbOy06t2VsZHhMHf-1x7Y/edit?usp=sharing"",""แผน!EF43"")"),0)</f>
        <v>0</v>
      </c>
      <c r="J314" s="595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hidden="1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IFERROR(__xludf.DUMMYFUNCTION("IMPORTRANGE(""https://docs.google.com/spreadsheets/d/1eHaY18a8A9IcSdp1K8H6x8fbOy06t2VsZHhMHf-1x7Y/edit?usp=sharing"",""แผน!EG43"")"),0)</f>
        <v>0</v>
      </c>
      <c r="J315" s="595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hidden="1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IFERROR(__xludf.DUMMYFUNCTION("IMPORTRANGE(""https://docs.google.com/spreadsheets/d/1eHaY18a8A9IcSdp1K8H6x8fbOy06t2VsZHhMHf-1x7Y/edit?usp=sharing"",""แผน!EH43"")"),0)</f>
        <v>0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199">
        <f ca="1">IFERROR(__xludf.DUMMYFUNCTION("IMPORTRANGE(""https://docs.google.com/spreadsheets/d/1eHaY18a8A9IcSdp1K8H6x8fbOy06t2VsZHhMHf-1x7Y/edit?usp=sharing"",""แผน!EI43"")"),0)</f>
        <v>0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hidden="1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0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hidden="1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0</v>
      </c>
      <c r="M320" s="577">
        <f ca="1">M321+M322</f>
        <v>0</v>
      </c>
      <c r="N320" s="577">
        <f ca="1">N321+N322</f>
        <v>0</v>
      </c>
      <c r="O320" s="577">
        <f ca="1">IF(L320&gt;0,N320*100/L320,0)</f>
        <v>0</v>
      </c>
      <c r="P320" s="577">
        <f ca="1">IF(M320&gt;0,N320*100/M320,0)</f>
        <v>0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hidden="1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hidden="1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IFERROR(__xludf.DUMMYFUNCTION("IMPORTRANGE(""https://docs.google.com/spreadsheets/d/1-uDff_7J0KD5mKrp0Vvzr7lt3OU09vwQwhkpOPPYv2Y/edit?usp=sharing"",""งบพรบ!EI43"")"),0)</f>
        <v>0</v>
      </c>
      <c r="M325" s="425">
        <f ca="1">IFERROR(__xludf.DUMMYFUNCTION("IMPORTRANGE(""https://docs.google.com/spreadsheets/d/1-uDff_7J0KD5mKrp0Vvzr7lt3OU09vwQwhkpOPPYv2Y/edit?usp=sharing"",""งบพรบ!EN43"")"),0)</f>
        <v>0</v>
      </c>
      <c r="N325" s="425">
        <f ca="1">IFERROR(__xludf.DUMMYFUNCTION("IMPORTRANGE(""https://docs.google.com/spreadsheets/d/1-uDff_7J0KD5mKrp0Vvzr7lt3OU09vwQwhkpOPPYv2Y/edit?usp=sharing"",""งบพรบ!EP43"")"),0)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hidden="1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IFERROR(__xludf.DUMMYFUNCTION("IMPORTRANGE(""https://docs.google.com/spreadsheets/d/1-uDff_7J0KD5mKrp0Vvzr7lt3OU09vwQwhkpOPPYv2Y/edit?usp=sharing"",""งบพรบ!EL43"")"),0)</f>
        <v>0</v>
      </c>
      <c r="M328" s="425">
        <f ca="1">IFERROR(__xludf.DUMMYFUNCTION("IMPORTRANGE(""https://docs.google.com/spreadsheets/d/1-uDff_7J0KD5mKrp0Vvzr7lt3OU09vwQwhkpOPPYv2Y/edit?usp=sharing"",""งบพรบ!EO43"")"),0)</f>
        <v>0</v>
      </c>
      <c r="N328" s="425">
        <f ca="1">IFERROR(__xludf.DUMMYFUNCTION("IMPORTRANGE(""https://docs.google.com/spreadsheets/d/1-uDff_7J0KD5mKrp0Vvzr7lt3OU09vwQwhkpOPPYv2Y/edit?usp=sharing"",""งบพรบ!EQ43"")"),0)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hidden="1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IFERROR(__xludf.DUMMYFUNCTION("IMPORTRANGE(""https://docs.google.com/spreadsheets/d/1eHaY18a8A9IcSdp1K8H6x8fbOy06t2VsZHhMHf-1x7Y/edit?usp=sharing"",""แผน!EJ43"")"),0)</f>
        <v>0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2540</v>
      </c>
      <c r="J332" s="402">
        <f ca="1">J344+J347+J348+J349+J353</f>
        <v>6350</v>
      </c>
      <c r="K332" s="403">
        <f ca="1">IF(I332&gt;0,J332*100/I332,0)</f>
        <v>250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113000</v>
      </c>
      <c r="M333" s="577">
        <f ca="1">M334+M335</f>
        <v>88150</v>
      </c>
      <c r="N333" s="577">
        <f ca="1">N334+N335</f>
        <v>33420</v>
      </c>
      <c r="O333" s="577">
        <f ca="1">IF(L333&gt;0,N333*100/L333,0)</f>
        <v>29.575221238938052</v>
      </c>
      <c r="P333" s="577">
        <f ca="1">IF(M333&gt;0,N333*100/M333,0)</f>
        <v>37.9126488939308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113000</v>
      </c>
      <c r="M335" s="425">
        <f ca="1">M338+M341</f>
        <v>88150</v>
      </c>
      <c r="N335" s="425">
        <f ca="1">N338+N341</f>
        <v>33420</v>
      </c>
      <c r="O335" s="425">
        <f ca="1">IF(L335&gt;0,N335*100/L335,0)</f>
        <v>29.575221238938052</v>
      </c>
      <c r="P335" s="425">
        <f ca="1">IF(M335&gt;0,N335*100/M335,0)</f>
        <v>37.9126488939308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113000</v>
      </c>
      <c r="M336" s="425">
        <f ca="1">M337+M338</f>
        <v>88150</v>
      </c>
      <c r="N336" s="425">
        <f ca="1">N337+N338</f>
        <v>33420</v>
      </c>
      <c r="O336" s="425">
        <f ca="1">IF(L336&gt;0,N336*100/L336,0)</f>
        <v>29.575221238938052</v>
      </c>
      <c r="P336" s="425">
        <f ca="1">IF(M336&gt;0,N336*100/M336,0)</f>
        <v>37.9126488939308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IFERROR(__xludf.DUMMYFUNCTION("IMPORTRANGE(""https://docs.google.com/spreadsheets/d/1-uDff_7J0KD5mKrp0Vvzr7lt3OU09vwQwhkpOPPYv2Y/edit?usp=sharing"",""งบพรบ!ES43"")"),113000)</f>
        <v>113000</v>
      </c>
      <c r="M338" s="425">
        <f ca="1">IFERROR(__xludf.DUMMYFUNCTION("IMPORTRANGE(""https://docs.google.com/spreadsheets/d/1-uDff_7J0KD5mKrp0Vvzr7lt3OU09vwQwhkpOPPYv2Y/edit?usp=sharing"",""งบพรบ!EX43"")"),88150)</f>
        <v>88150</v>
      </c>
      <c r="N338" s="425">
        <f ca="1">IFERROR(__xludf.DUMMYFUNCTION("IMPORTRANGE(""https://docs.google.com/spreadsheets/d/1-uDff_7J0KD5mKrp0Vvzr7lt3OU09vwQwhkpOPPYv2Y/edit?usp=sharing"",""งบพรบ!EZ43"")"),33420)</f>
        <v>33420</v>
      </c>
      <c r="O338" s="425">
        <f ca="1">IF(L338&gt;0,N338*100/L338,0)</f>
        <v>29.575221238938052</v>
      </c>
      <c r="P338" s="425">
        <f ca="1">IF(M338&gt;0,N338*100/M338,0)</f>
        <v>37.9126488939308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IFERROR(__xludf.DUMMYFUNCTION("IMPORTRANGE(""https://docs.google.com/spreadsheets/d/1-uDff_7J0KD5mKrp0Vvzr7lt3OU09vwQwhkpOPPYv2Y/edit?usp=sharing"",""งบพรบ!EV43"")"),0)</f>
        <v>0</v>
      </c>
      <c r="M341" s="425">
        <f ca="1">IFERROR(__xludf.DUMMYFUNCTION("IMPORTRANGE(""https://docs.google.com/spreadsheets/d/1-uDff_7J0KD5mKrp0Vvzr7lt3OU09vwQwhkpOPPYv2Y/edit?usp=sharing"",""งบพรบ!EY43"")"),0)</f>
        <v>0</v>
      </c>
      <c r="N341" s="425">
        <f ca="1">IFERROR(__xludf.DUMMYFUNCTION("IMPORTRANGE(""https://docs.google.com/spreadsheets/d/1-uDff_7J0KD5mKrp0Vvzr7lt3OU09vwQwhkpOPPYv2Y/edit?usp=sharing"",""งบพรบ!FA43"")"),0)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2015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IFERROR(__xludf.DUMMYFUNCTION("IMPORTRANGE(""https://docs.google.com/spreadsheets/d/1eHaY18a8A9IcSdp1K8H6x8fbOy06t2VsZHhMHf-1x7Y/edit?usp=sharing"",""แผน!EK43"")"),2540)</f>
        <v>2540</v>
      </c>
      <c r="J344" s="424">
        <f ca="1">IFERROR(__xludf.DUMMYFUNCTION("IMPORTRANGE(""https://docs.google.com/spreadsheets/d/1awYsYK3VOup2i3Pq_Yjnu8DRu_mYwSBnCR2QPthd0rU/edit?usp=sharing"",""ศูนย์ยกเว้นโฉนด!D43"")"),1882)</f>
        <v>1882</v>
      </c>
      <c r="K344" s="425">
        <f ca="1">IF(I344&gt;0,J344*100/I344,0)</f>
        <v>74.094488188976385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IFERROR(__xludf.DUMMYFUNCTION("IMPORTRANGE(""https://docs.google.com/spreadsheets/d/1eHaY18a8A9IcSdp1K8H6x8fbOy06t2VsZHhMHf-1x7Y/edit?usp=sharing"",""แผน!EL43"")"),5)</f>
        <v>5</v>
      </c>
      <c r="J346" s="424">
        <f ca="1">IFERROR(__xludf.DUMMYFUNCTION("IMPORTRANGE(""https://docs.google.com/spreadsheets/d/1awYsYK3VOup2i3Pq_Yjnu8DRu_mYwSBnCR2QPthd0rU/edit?usp=sharing"",""ศูนย์รวม!E43"")"),2)</f>
        <v>2</v>
      </c>
      <c r="K346" s="425">
        <f ca="1">IF(I346&gt;0,J346*100/I346,0)</f>
        <v>40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IFERROR(__xludf.DUMMYFUNCTION("IMPORTRANGE(""https://docs.google.com/spreadsheets/d/1awYsYK3VOup2i3Pq_Yjnu8DRu_mYwSBnCR2QPthd0rU/edit?usp=sharing"",""ศูนย์ยกเว้นโฉนด!F43"")"),91)</f>
        <v>91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IFERROR(__xludf.DUMMYFUNCTION("IMPORTRANGE(""https://docs.google.com/spreadsheets/d/1awYsYK3VOup2i3Pq_Yjnu8DRu_mYwSBnCR2QPthd0rU/edit?usp=sharing"",""ศูนย์ยกเว้นโฉนด!G43"")"),42)</f>
        <v>42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IFERROR(__xludf.DUMMYFUNCTION("IMPORTRANGE(""https://docs.google.com/spreadsheets/d/1awYsYK3VOup2i3Pq_Yjnu8DRu_mYwSBnCR2QPthd0rU/edit?usp=sharing"",""ศูนย์ยกเว้นโฉนด!H43"")"),0)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4996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IFERROR(__xludf.DUMMYFUNCTION("IMPORTRANGE(""https://docs.google.com/spreadsheets/d/1awYsYK3VOup2i3Pq_Yjnu8DRu_mYwSBnCR2QPthd0rU/edit?usp=sharing"",""โฉนดM3!G43"")"),661)</f>
        <v>661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IFERROR(__xludf.DUMMYFUNCTION("IMPORTRANGE(""https://docs.google.com/spreadsheets/d/1awYsYK3VOup2i3Pq_Yjnu8DRu_mYwSBnCR2QPthd0rU/edit?usp=sharing"",""โฉนดM3!H43"")"),4335)</f>
        <v>4335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997580</v>
      </c>
      <c r="M356" s="577">
        <f ca="1">M357+M358</f>
        <v>840980</v>
      </c>
      <c r="N356" s="577">
        <f ca="1">N357+N358</f>
        <v>341383.07</v>
      </c>
      <c r="O356" s="577">
        <f ca="1">IF(L356&gt;0,N356*100/L356,0)</f>
        <v>34.221122115519556</v>
      </c>
      <c r="P356" s="577">
        <f ca="1">IF(M356&gt;0,N356*100/M356,0)</f>
        <v>40.593482603629099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997580</v>
      </c>
      <c r="M358" s="425">
        <f ca="1">M361+M364</f>
        <v>840980</v>
      </c>
      <c r="N358" s="425">
        <f ca="1">N361+N364</f>
        <v>341383.07</v>
      </c>
      <c r="O358" s="425">
        <f ca="1">IF(L358&gt;0,N358*100/L358,0)</f>
        <v>34.221122115519556</v>
      </c>
      <c r="P358" s="425">
        <f ca="1">IF(M358&gt;0,N358*100/M358,0)</f>
        <v>40.593482603629099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997580</v>
      </c>
      <c r="M359" s="425">
        <f ca="1">M360+M361</f>
        <v>840980</v>
      </c>
      <c r="N359" s="425">
        <f ca="1">N360+N361</f>
        <v>341383.07</v>
      </c>
      <c r="O359" s="425">
        <f ca="1">IF(L359&gt;0,N359*100/L359,0)</f>
        <v>34.221122115519556</v>
      </c>
      <c r="P359" s="425">
        <f ca="1">IF(M359&gt;0,N359*100/M359,0)</f>
        <v>40.593482603629099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IFERROR(__xludf.DUMMYFUNCTION("IMPORTRANGE(""https://docs.google.com/spreadsheets/d/1-uDff_7J0KD5mKrp0Vvzr7lt3OU09vwQwhkpOPPYv2Y/edit?usp=sharing"",""งบพรบ!FC43"")"),997580)</f>
        <v>997580</v>
      </c>
      <c r="M361" s="425">
        <f ca="1">IFERROR(__xludf.DUMMYFUNCTION("IMPORTRANGE(""https://docs.google.com/spreadsheets/d/1-uDff_7J0KD5mKrp0Vvzr7lt3OU09vwQwhkpOPPYv2Y/edit?usp=sharing"",""งบพรบ!FH43"")"),840980)</f>
        <v>840980</v>
      </c>
      <c r="N361" s="425">
        <f ca="1">IFERROR(__xludf.DUMMYFUNCTION("IMPORTRANGE(""https://docs.google.com/spreadsheets/d/1-uDff_7J0KD5mKrp0Vvzr7lt3OU09vwQwhkpOPPYv2Y/edit?usp=sharing"",""งบพรบ!FJ43"")"),341383.07)</f>
        <v>341383.07</v>
      </c>
      <c r="O361" s="425">
        <f ca="1">IF(L361&gt;0,N361*100/L361,0)</f>
        <v>34.221122115519556</v>
      </c>
      <c r="P361" s="425">
        <f ca="1">IF(M361&gt;0,N361*100/M361,0)</f>
        <v>40.593482603629099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IFERROR(__xludf.DUMMYFUNCTION("IMPORTRANGE(""https://docs.google.com/spreadsheets/d/1-uDff_7J0KD5mKrp0Vvzr7lt3OU09vwQwhkpOPPYv2Y/edit?usp=sharing"",""งบพรบ!FF43"")"),0)</f>
        <v>0</v>
      </c>
      <c r="M364" s="425">
        <f ca="1">IFERROR(__xludf.DUMMYFUNCTION("IMPORTRANGE(""https://docs.google.com/spreadsheets/d/1-uDff_7J0KD5mKrp0Vvzr7lt3OU09vwQwhkpOPPYv2Y/edit?usp=sharing"",""งบพรบ!FI43"")"),0)</f>
        <v>0</v>
      </c>
      <c r="N364" s="425">
        <f ca="1">IFERROR(__xludf.DUMMYFUNCTION("IMPORTRANGE(""https://docs.google.com/spreadsheets/d/1-uDff_7J0KD5mKrp0Vvzr7lt3OU09vwQwhkpOPPYv2Y/edit?usp=sharing"",""งบพรบ!FK43"")"),0)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488</v>
      </c>
      <c r="J365" s="438">
        <f ca="1">J371</f>
        <v>171</v>
      </c>
      <c r="K365" s="439">
        <f ca="1">IF(I365&gt;0,J365*100/I365,0)</f>
        <v>35.040983606557376</v>
      </c>
      <c r="L365" s="571"/>
      <c r="M365" s="571"/>
      <c r="N365" s="571"/>
      <c r="O365" s="571"/>
      <c r="P365" s="571"/>
    </row>
    <row r="366" spans="1:16" ht="19.5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IFERROR(__xludf.DUMMYFUNCTION("IMPORTRANGE(""https://docs.google.com/spreadsheets/d/1tdoBKaGub7dwA3U6UFTqxio9LNnvDCQjHKmttSEBsFQ/edit?usp=sharing"",""จัดที่ดิน!AB43"")"),75)</f>
        <v>75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IFERROR(__xludf.DUMMYFUNCTION("IMPORTRANGE(""https://docs.google.com/spreadsheets/d/1eHaY18a8A9IcSdp1K8H6x8fbOy06t2VsZHhMHf-1x7Y/edit?usp=sharing"",""แผน!EW43"")"),4085)</f>
        <v>4085</v>
      </c>
      <c r="J368" s="565">
        <f ca="1">IFERROR(__xludf.DUMMYFUNCTION("IMPORTRANGE(""https://docs.google.com/spreadsheets/d/1tdoBKaGub7dwA3U6UFTqxio9LNnvDCQjHKmttSEBsFQ/edit?usp=sharing"",""จัดที่ดิน!AC43"")"),940.38)</f>
        <v>940.38</v>
      </c>
      <c r="K368" s="425">
        <f ca="1">IF(I368&gt;0,J368*100/I368,0)</f>
        <v>23.020318237454099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IFERROR(__xludf.DUMMYFUNCTION("IMPORTRANGE(""https://docs.google.com/spreadsheets/d/1eHaY18a8A9IcSdp1K8H6x8fbOy06t2VsZHhMHf-1x7Y/edit?usp=sharing"",""แผน!EX43"")"),727)</f>
        <v>727</v>
      </c>
      <c r="J369" s="424">
        <f ca="1">IFERROR(__xludf.DUMMYFUNCTION("IMPORTRANGE(""https://docs.google.com/spreadsheets/d/1tdoBKaGub7dwA3U6UFTqxio9LNnvDCQjHKmttSEBsFQ/edit?usp=sharing"",""จัดที่ดิน!AD43"")"),171)</f>
        <v>171</v>
      </c>
      <c r="K369" s="425">
        <f ca="1">IF(I369&gt;0,J369*100/I369,0)</f>
        <v>23.521320495185694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IFERROR(__xludf.DUMMYFUNCTION("IMPORTRANGE(""https://docs.google.com/spreadsheets/d/1tdoBKaGub7dwA3U6UFTqxio9LNnvDCQjHKmttSEBsFQ/edit?usp=sharing"",""จัดที่ดิน!AE43"")"),2559.51)</f>
        <v>2559.5100000000002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IFERROR(__xludf.DUMMYFUNCTION("IMPORTRANGE(""https://docs.google.com/spreadsheets/d/1eHaY18a8A9IcSdp1K8H6x8fbOy06t2VsZHhMHf-1x7Y/edit?usp=sharing"",""แผน!EY43"")"),488)</f>
        <v>488</v>
      </c>
      <c r="J371" s="424">
        <f ca="1">IFERROR(__xludf.DUMMYFUNCTION("IMPORTRANGE(""https://docs.google.com/spreadsheets/d/1tdoBKaGub7dwA3U6UFTqxio9LNnvDCQjHKmttSEBsFQ/edit?usp=sharing"",""จัดที่ดิน!AF43"")"),171)</f>
        <v>171</v>
      </c>
      <c r="K371" s="425">
        <f ca="1">IF(I371&gt;0,J371*100/I371,0)</f>
        <v>35.040983606557376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IFERROR(__xludf.DUMMYFUNCTION("IMPORTRANGE(""https://docs.google.com/spreadsheets/d/1tdoBKaGub7dwA3U6UFTqxio9LNnvDCQjHKmttSEBsFQ/edit?usp=sharing"",""จัดที่ดิน!AG43"")"),2559.51)</f>
        <v>2559.5100000000002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IFERROR(__xludf.DUMMYFUNCTION("IMPORTRANGE(""https://docs.google.com/spreadsheets/d/1-uDff_7J0KD5mKrp0Vvzr7lt3OU09vwQwhkpOPPYv2Y/edit?usp=sharing"",""งบพรบ!FM43"")"),0)</f>
        <v>0</v>
      </c>
      <c r="M382" s="521">
        <f ca="1">IFERROR(__xludf.DUMMYFUNCTION("IMPORTRANGE(""https://docs.google.com/spreadsheets/d/1-uDff_7J0KD5mKrp0Vvzr7lt3OU09vwQwhkpOPPYv2Y/edit?usp=sharing"",""งบพรบ!FR43"")"),0)</f>
        <v>0</v>
      </c>
      <c r="N382" s="521">
        <f ca="1">IFERROR(__xludf.DUMMYFUNCTION("IMPORTRANGE(""https://docs.google.com/spreadsheets/d/1-uDff_7J0KD5mKrp0Vvzr7lt3OU09vwQwhkpOPPYv2Y/edit?usp=sharing"",""งบพรบ!FT43"")"),0)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IFERROR(__xludf.DUMMYFUNCTION("IMPORTRANGE(""https://docs.google.com/spreadsheets/d/1-uDff_7J0KD5mKrp0Vvzr7lt3OU09vwQwhkpOPPYv2Y/edit?usp=sharing"",""งบพรบ!FP43"")"),0)</f>
        <v>0</v>
      </c>
      <c r="M385" s="521">
        <f ca="1">IFERROR(__xludf.DUMMYFUNCTION("IMPORTRANGE(""https://docs.google.com/spreadsheets/d/1-uDff_7J0KD5mKrp0Vvzr7lt3OU09vwQwhkpOPPYv2Y/edit?usp=sharing"",""งบพรบ!FS43"")"),0)</f>
        <v>0</v>
      </c>
      <c r="N385" s="521">
        <f ca="1">IFERROR(__xludf.DUMMYFUNCTION("IMPORTRANGE(""https://docs.google.com/spreadsheets/d/1-uDff_7J0KD5mKrp0Vvzr7lt3OU09vwQwhkpOPPYv2Y/edit?usp=sharing"",""งบพรบ!FU43"")"),0)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62DD3-606C-4EC2-ABAF-2E4289B3520E}">
  <sheetPr>
    <outlinePr summaryBelow="0" summaryRight="0"/>
    <pageSetUpPr fitToPage="1"/>
  </sheetPr>
  <dimension ref="A1:P391"/>
  <sheetViews>
    <sheetView view="pageBreakPreview" zoomScale="60" zoomScaleNormal="70" workbookViewId="0">
      <pane xSplit="8" ySplit="17" topLeftCell="I18" activePane="bottomRight" state="frozen"/>
      <selection activeCell="H27" sqref="H27"/>
      <selection pane="topRight" activeCell="H27" sqref="H27"/>
      <selection pane="bottomLeft" activeCell="H27" sqref="H27"/>
      <selection pane="bottomRight" activeCell="H27" sqref="H27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5.140625" customWidth="1"/>
    <col min="11" max="11" width="10.8554687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869" t="s">
        <v>0</v>
      </c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  <c r="O1" s="869"/>
      <c r="P1" s="869"/>
    </row>
    <row r="2" spans="1:16" ht="19.5" x14ac:dyDescent="0.3">
      <c r="A2" s="869" t="s">
        <v>172</v>
      </c>
      <c r="B2" s="869"/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  <c r="P2" s="869"/>
    </row>
    <row r="3" spans="1:16" ht="19.5" x14ac:dyDescent="0.3">
      <c r="A3" s="869"/>
      <c r="B3" s="869"/>
      <c r="C3" s="869"/>
      <c r="D3" s="869"/>
      <c r="E3" s="869"/>
      <c r="F3" s="869"/>
      <c r="G3" s="869"/>
      <c r="H3" s="869"/>
      <c r="I3" s="869"/>
      <c r="J3" s="869"/>
      <c r="K3" s="869"/>
      <c r="L3" s="869"/>
      <c r="M3" s="869"/>
      <c r="N3" s="869"/>
      <c r="O3" s="869"/>
      <c r="P3" s="869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5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493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2770600</v>
      </c>
      <c r="M18" s="704">
        <f ca="1">M19+M20</f>
        <v>2432760</v>
      </c>
      <c r="N18" s="704">
        <f ca="1">N19+N20</f>
        <v>867918.53</v>
      </c>
      <c r="O18" s="704">
        <f ca="1">IF(L18&gt;0,N18*100/L18,0)</f>
        <v>31.32601349888111</v>
      </c>
      <c r="P18" s="704">
        <f ca="1">IF(M18&gt;0,N18*100/M18,0)</f>
        <v>35.676290715072589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2770600</v>
      </c>
      <c r="M20" s="817">
        <f ca="1">M23+M26</f>
        <v>2432760</v>
      </c>
      <c r="N20" s="817">
        <f ca="1">N23+N26</f>
        <v>867918.53</v>
      </c>
      <c r="O20" s="817">
        <f ca="1">IF(L20&gt;0,N20*100/L20,0)</f>
        <v>31.32601349888111</v>
      </c>
      <c r="P20" s="817">
        <f ca="1">IF(M20&gt;0,N20*100/M20,0)</f>
        <v>35.676290715072589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2770600</v>
      </c>
      <c r="M21" s="425">
        <f ca="1">M22+M23</f>
        <v>2432760</v>
      </c>
      <c r="N21" s="425">
        <f ca="1">N22+N23</f>
        <v>867918.53</v>
      </c>
      <c r="O21" s="425">
        <f ca="1">IF(L21&gt;0,N21*100/L21,0)</f>
        <v>31.32601349888111</v>
      </c>
      <c r="P21" s="425">
        <f ca="1">IF(M21&gt;0,N21*100/M21,0)</f>
        <v>35.676290715072589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2770600</v>
      </c>
      <c r="M23" s="425">
        <f ca="1">M49+M64+M77+M99+M130+M144+M162+M191+M178+M271+M287+M308+M325+M338+M361+M382</f>
        <v>2432760</v>
      </c>
      <c r="N23" s="425">
        <f ca="1">N49+N64+N77+N99+N130+N144+N162+N191+N178+N271+N287+N308+N325+N338+N361+N382</f>
        <v>867918.53</v>
      </c>
      <c r="O23" s="425">
        <f ca="1">IF(L23&gt;0,N23*100/L23,0)</f>
        <v>31.32601349888111</v>
      </c>
      <c r="P23" s="425">
        <f ca="1">IF(M23&gt;0,N23*100/M23,0)</f>
        <v>35.676290715072589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2.75" hidden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2770600</v>
      </c>
      <c r="M40" s="809">
        <f ca="1">M44+M59+M72+M94+M125+M139+M157+M173+M186+M266+M282+M303+M320+M333+M356</f>
        <v>2432760</v>
      </c>
      <c r="N40" s="809">
        <f ca="1">N44+N59+N72+N94+N125+N139+N157+N173+N186+N266+N282+N303+N320+N333+N356</f>
        <v>867918.53</v>
      </c>
      <c r="O40" s="809">
        <f ca="1">IF(L40&gt;0,N40*100/L40,0)</f>
        <v>31.32601349888111</v>
      </c>
      <c r="P40" s="809">
        <f ca="1">IF(M40&gt;0,N40*100/M40,0)</f>
        <v>35.676290715072589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478365</v>
      </c>
      <c r="M44" s="794">
        <f ca="1">M45+M46</f>
        <v>491685</v>
      </c>
      <c r="N44" s="794">
        <f ca="1">N45+N46</f>
        <v>179042</v>
      </c>
      <c r="O44" s="794">
        <f ca="1">IF(L44&gt;0,N44*100/L44,0)</f>
        <v>37.427905469672737</v>
      </c>
      <c r="P44" s="794">
        <f ca="1">IF(M44&gt;0,N44*100/M44,0)</f>
        <v>36.413964225062792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478365</v>
      </c>
      <c r="M46" s="783">
        <f ca="1">M49+M52</f>
        <v>491685</v>
      </c>
      <c r="N46" s="783">
        <f ca="1">N49+N52</f>
        <v>179042</v>
      </c>
      <c r="O46" s="783">
        <f ca="1">IF(L46&gt;0,N46*100/L46,0)</f>
        <v>37.427905469672737</v>
      </c>
      <c r="P46" s="783">
        <f ca="1">IF(M46&gt;0,N46*100/M46,0)</f>
        <v>36.413964225062792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478365</v>
      </c>
      <c r="M47" s="425">
        <f ca="1">M48+M49</f>
        <v>491685</v>
      </c>
      <c r="N47" s="425">
        <f ca="1">N48+N49</f>
        <v>179042</v>
      </c>
      <c r="O47" s="425">
        <f ca="1">IF(L47&gt;0,N47*100/L47,0)</f>
        <v>37.427905469672737</v>
      </c>
      <c r="P47" s="425">
        <f ca="1">IF(M47&gt;0,N47*100/M47,0)</f>
        <v>36.413964225062792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IFERROR(__xludf.DUMMYFUNCTION("IMPORTRANGE(""https://docs.google.com/spreadsheets/d/1-uDff_7J0KD5mKrp0Vvzr7lt3OU09vwQwhkpOPPYv2Y/edit?usp=sharing"",""งบพรบ!P44"")"),478365)</f>
        <v>478365</v>
      </c>
      <c r="M49" s="425">
        <f ca="1">IFERROR(__xludf.DUMMYFUNCTION("IMPORTRANGE(""https://docs.google.com/spreadsheets/d/1-uDff_7J0KD5mKrp0Vvzr7lt3OU09vwQwhkpOPPYv2Y/edit?usp=sharing"",""งบพรบ!V44"")"),491685)</f>
        <v>491685</v>
      </c>
      <c r="N49" s="425">
        <f ca="1">IFERROR(__xludf.DUMMYFUNCTION("IMPORTRANGE(""https://docs.google.com/spreadsheets/d/1-uDff_7J0KD5mKrp0Vvzr7lt3OU09vwQwhkpOPPYv2Y/edit?usp=sharing"",""งบพรบ!Y44"")"),179042)</f>
        <v>179042</v>
      </c>
      <c r="O49" s="425">
        <f ca="1">IF(L49&gt;0,N49*100/L49,0)</f>
        <v>37.427905469672737</v>
      </c>
      <c r="P49" s="425">
        <f ca="1">IF(M49&gt;0,N49*100/M49,0)</f>
        <v>36.413964225062792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IFERROR(__xludf.DUMMYFUNCTION("IMPORTRANGE(""https://docs.google.com/spreadsheets/d/1-uDff_7J0KD5mKrp0Vvzr7lt3OU09vwQwhkpOPPYv2Y/edit?usp=sharing"",""งบพรบ!S44"")"),0)</f>
        <v>0</v>
      </c>
      <c r="M52" s="425">
        <f ca="1">IFERROR(__xludf.DUMMYFUNCTION("IMPORTRANGE(""https://docs.google.com/spreadsheets/d/1-uDff_7J0KD5mKrp0Vvzr7lt3OU09vwQwhkpOPPYv2Y/edit?usp=sharing"",""งบพรบ!W44"")"),0)</f>
        <v>0</v>
      </c>
      <c r="N52" s="425">
        <f ca="1">IFERROR(__xludf.DUMMYFUNCTION("IMPORTRANGE(""https://docs.google.com/spreadsheets/d/1-uDff_7J0KD5mKrp0Vvzr7lt3OU09vwQwhkpOPPYv2Y/edit?usp=sharing"",""งบพรบ!Z44"")"),0)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565800</v>
      </c>
      <c r="M59" s="763">
        <f ca="1">M60+M61</f>
        <v>486090</v>
      </c>
      <c r="N59" s="763">
        <f ca="1">N60+N61</f>
        <v>366427.59</v>
      </c>
      <c r="O59" s="763">
        <f ca="1">IF(L59&gt;0,N59*100/L59,0)</f>
        <v>64.762741251325551</v>
      </c>
      <c r="P59" s="763">
        <f ca="1">IF(M59&gt;0,N59*100/M59,0)</f>
        <v>75.382663704252295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565800</v>
      </c>
      <c r="M61" s="752">
        <f ca="1">M64+M67</f>
        <v>486090</v>
      </c>
      <c r="N61" s="752">
        <f ca="1">N64+N67</f>
        <v>366427.59</v>
      </c>
      <c r="O61" s="752">
        <f ca="1">IF(L61&gt;0,N61*100/L61,0)</f>
        <v>64.762741251325551</v>
      </c>
      <c r="P61" s="752">
        <f ca="1">IF(M61&gt;0,N61*100/M61,0)</f>
        <v>75.382663704252295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565800</v>
      </c>
      <c r="M62" s="425">
        <f ca="1">M63+M64</f>
        <v>486090</v>
      </c>
      <c r="N62" s="425">
        <f ca="1">N63+N64</f>
        <v>366427.59</v>
      </c>
      <c r="O62" s="425">
        <f ca="1">IF(L62&gt;0,N62*100/L62,0)</f>
        <v>64.762741251325551</v>
      </c>
      <c r="P62" s="425">
        <f ca="1">IF(M62&gt;0,N62*100/M62,0)</f>
        <v>75.382663704252295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IFERROR(__xludf.DUMMYFUNCTION("IMPORTRANGE(""https://docs.google.com/spreadsheets/d/1-uDff_7J0KD5mKrp0Vvzr7lt3OU09vwQwhkpOPPYv2Y/edit?usp=sharing"",""งบพรบ!AC44"")"),565800)</f>
        <v>565800</v>
      </c>
      <c r="M64" s="425">
        <f ca="1">IFERROR(__xludf.DUMMYFUNCTION("IMPORTRANGE(""https://docs.google.com/spreadsheets/d/1-uDff_7J0KD5mKrp0Vvzr7lt3OU09vwQwhkpOPPYv2Y/edit?usp=sharing"",""งบพรบ!AH44"")"),486090)</f>
        <v>486090</v>
      </c>
      <c r="N64" s="425">
        <f ca="1">IFERROR(__xludf.DUMMYFUNCTION("IMPORTRANGE(""https://docs.google.com/spreadsheets/d/1-uDff_7J0KD5mKrp0Vvzr7lt3OU09vwQwhkpOPPYv2Y/edit?usp=sharing"",""งบพรบ!AJ44"")"),366427.59)</f>
        <v>366427.59</v>
      </c>
      <c r="O64" s="425">
        <f ca="1">IF(L64&gt;0,N64*100/L64,0)</f>
        <v>64.762741251325551</v>
      </c>
      <c r="P64" s="425">
        <f ca="1">IF(M64&gt;0,N64*100/M64,0)</f>
        <v>75.382663704252295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IFERROR(__xludf.DUMMYFUNCTION("IMPORTRANGE(""https://docs.google.com/spreadsheets/d/1-uDff_7J0KD5mKrp0Vvzr7lt3OU09vwQwhkpOPPYv2Y/edit?usp=sharing"",""งบพรบ!AF44"")"),0)</f>
        <v>0</v>
      </c>
      <c r="M67" s="747">
        <f ca="1">IFERROR(__xludf.DUMMYFUNCTION("IMPORTRANGE(""https://docs.google.com/spreadsheets/d/1-uDff_7J0KD5mKrp0Vvzr7lt3OU09vwQwhkpOPPYv2Y/edit?usp=sharing"",""งบพรบ!AI44"")"),0)</f>
        <v>0</v>
      </c>
      <c r="N67" s="747">
        <f ca="1">IFERROR(__xludf.DUMMYFUNCTION("IMPORTRANGE(""https://docs.google.com/spreadsheets/d/1-uDff_7J0KD5mKrp0Vvzr7lt3OU09vwQwhkpOPPYv2Y/edit?usp=sharing"",""งบพรบ!AK44"")"),0)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19.5" hidden="1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hidden="1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hidden="1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0</v>
      </c>
      <c r="J70" s="705">
        <f>J82</f>
        <v>0</v>
      </c>
      <c r="K70" s="704">
        <f ca="1">IF(I70&gt;0,J70*100/I70,0)</f>
        <v>0</v>
      </c>
      <c r="L70" s="703"/>
      <c r="M70" s="703"/>
      <c r="N70" s="703"/>
      <c r="O70" s="703"/>
      <c r="P70" s="703"/>
    </row>
    <row r="71" spans="1:16" ht="19.5" hidden="1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0</v>
      </c>
      <c r="J71" s="705">
        <f>J83</f>
        <v>0</v>
      </c>
      <c r="K71" s="704">
        <f ca="1">IF(I71&gt;0,J71*100/I71,0)</f>
        <v>0</v>
      </c>
      <c r="L71" s="703"/>
      <c r="M71" s="703"/>
      <c r="N71" s="703"/>
      <c r="O71" s="703"/>
      <c r="P71" s="703"/>
    </row>
    <row r="72" spans="1:16" ht="19.5" hidden="1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0</v>
      </c>
      <c r="M72" s="577">
        <f ca="1">M73+M74</f>
        <v>0</v>
      </c>
      <c r="N72" s="577">
        <f ca="1">N73+N74</f>
        <v>0</v>
      </c>
      <c r="O72" s="577">
        <f ca="1">IF(L72&gt;0,N72*100/L72,0)</f>
        <v>0</v>
      </c>
      <c r="P72" s="577">
        <f ca="1">IF(M72&gt;0,N72*100/M72,0)</f>
        <v>0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hidden="1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hidden="1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IFERROR(__xludf.DUMMYFUNCTION("IMPORTRANGE(""https://docs.google.com/spreadsheets/d/1-uDff_7J0KD5mKrp0Vvzr7lt3OU09vwQwhkpOPPYv2Y/edit?usp=sharing"",""งบพรบ!AM44"")"),0)</f>
        <v>0</v>
      </c>
      <c r="M77" s="425">
        <f ca="1">IFERROR(__xludf.DUMMYFUNCTION("IMPORTRANGE(""https://docs.google.com/spreadsheets/d/1-uDff_7J0KD5mKrp0Vvzr7lt3OU09vwQwhkpOPPYv2Y/edit?usp=sharing"",""งบพรบ!AR44"")"),0)</f>
        <v>0</v>
      </c>
      <c r="N77" s="425">
        <f ca="1">IFERROR(__xludf.DUMMYFUNCTION("IMPORTRANGE(""https://docs.google.com/spreadsheets/d/1-uDff_7J0KD5mKrp0Vvzr7lt3OU09vwQwhkpOPPYv2Y/edit?usp=sharing"",""งบพรบ!AT44"")"),0)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hidden="1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IFERROR(__xludf.DUMMYFUNCTION("IMPORTRANGE(""https://docs.google.com/spreadsheets/d/1-uDff_7J0KD5mKrp0Vvzr7lt3OU09vwQwhkpOPPYv2Y/edit?usp=sharing"",""งบพรบ!AP44"")"),0)</f>
        <v>0</v>
      </c>
      <c r="M80" s="425">
        <f ca="1">IFERROR(__xludf.DUMMYFUNCTION("IMPORTRANGE(""https://docs.google.com/spreadsheets/d/1-uDff_7J0KD5mKrp0Vvzr7lt3OU09vwQwhkpOPPYv2Y/edit?usp=sharing"",""งบพรบ!AS44"")"),0)</f>
        <v>0</v>
      </c>
      <c r="N80" s="425">
        <f ca="1">IFERROR(__xludf.DUMMYFUNCTION("IMPORTRANGE(""https://docs.google.com/spreadsheets/d/1-uDff_7J0KD5mKrp0Vvzr7lt3OU09vwQwhkpOPPYv2Y/edit?usp=sharing"",""งบพรบ!AU44"")"),0)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hidden="1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0</v>
      </c>
      <c r="J82" s="625">
        <f>J84+J86+J88</f>
        <v>0</v>
      </c>
      <c r="K82" s="624">
        <f ca="1">IF(I82&gt;0,J82*100/I82,0)</f>
        <v>0</v>
      </c>
      <c r="L82" s="525"/>
      <c r="M82" s="525"/>
      <c r="N82" s="525"/>
      <c r="O82" s="525"/>
      <c r="P82" s="525"/>
    </row>
    <row r="83" spans="1:16" ht="19.5" hidden="1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0</v>
      </c>
      <c r="J83" s="625">
        <f>J85+J87+J89</f>
        <v>0</v>
      </c>
      <c r="K83" s="624">
        <f ca="1">IF(I83&gt;0,J83*100/I83,0)</f>
        <v>0</v>
      </c>
      <c r="L83" s="525"/>
      <c r="M83" s="525"/>
      <c r="N83" s="525"/>
      <c r="O83" s="525"/>
      <c r="P83" s="525"/>
    </row>
    <row r="84" spans="1:16" ht="18.75" hidden="1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IFERROR(__xludf.DUMMYFUNCTION("IMPORTRANGE(""https://docs.google.com/spreadsheets/d/1eHaY18a8A9IcSdp1K8H6x8fbOy06t2VsZHhMHf-1x7Y/edit?usp=sharing"",""แผน!H44"")"),0)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hidden="1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IFERROR(__xludf.DUMMYFUNCTION("IMPORTRANGE(""https://docs.google.com/spreadsheets/d/1eHaY18a8A9IcSdp1K8H6x8fbOy06t2VsZHhMHf-1x7Y/edit?usp=sharing"",""แผน!I44"")"),0)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hidden="1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IFERROR(__xludf.DUMMYFUNCTION("IMPORTRANGE(""https://docs.google.com/spreadsheets/d/1eHaY18a8A9IcSdp1K8H6x8fbOy06t2VsZHhMHf-1x7Y/edit?usp=sharing"",""แผน!F44"")"),0)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hidden="1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IFERROR(__xludf.DUMMYFUNCTION("IMPORTRANGE(""https://docs.google.com/spreadsheets/d/1eHaY18a8A9IcSdp1K8H6x8fbOy06t2VsZHhMHf-1x7Y/edit?usp=sharing"",""แผน!G44"")"),0)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hidden="1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IFERROR(__xludf.DUMMYFUNCTION("IMPORTRANGE(""https://docs.google.com/spreadsheets/d/1eHaY18a8A9IcSdp1K8H6x8fbOy06t2VsZHhMHf-1x7Y/edit?usp=sharing"",""แผน!D44"")"),0)</f>
        <v>0</v>
      </c>
      <c r="J88" s="595">
        <v>0</v>
      </c>
      <c r="K88" s="621">
        <f ca="1">IF(I88&gt;0,J88*100/I88,0)</f>
        <v>0</v>
      </c>
      <c r="L88" s="525"/>
      <c r="M88" s="525"/>
      <c r="N88" s="525"/>
      <c r="O88" s="525"/>
      <c r="P88" s="525"/>
    </row>
    <row r="89" spans="1:16" ht="18.75" hidden="1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IFERROR(__xludf.DUMMYFUNCTION("IMPORTRANGE(""https://docs.google.com/spreadsheets/d/1eHaY18a8A9IcSdp1K8H6x8fbOy06t2VsZHhMHf-1x7Y/edit?usp=sharing"",""แผน!E44"")"),0)</f>
        <v>0</v>
      </c>
      <c r="J89" s="595">
        <v>0</v>
      </c>
      <c r="K89" s="621">
        <f ca="1">IF(I89&gt;0,J89*100/I89,0)</f>
        <v>0</v>
      </c>
      <c r="L89" s="525"/>
      <c r="M89" s="525"/>
      <c r="N89" s="525"/>
      <c r="O89" s="525"/>
      <c r="P89" s="525"/>
    </row>
    <row r="90" spans="1:16" ht="18.75" hidden="1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IFERROR(__xludf.DUMMYFUNCTION("IMPORTRANGE(""https://docs.google.com/spreadsheets/d/1eHaY18a8A9IcSdp1K8H6x8fbOy06t2VsZHhMHf-1x7Y/edit?usp=sharing"",""แผน!J44"")"),0)</f>
        <v>0</v>
      </c>
      <c r="J90" s="595">
        <v>0</v>
      </c>
      <c r="K90" s="621">
        <f ca="1">IF(I90&gt;0,J90*100/I90,0)</f>
        <v>0</v>
      </c>
      <c r="L90" s="525"/>
      <c r="M90" s="525"/>
      <c r="N90" s="525"/>
      <c r="O90" s="525"/>
      <c r="P90" s="525"/>
    </row>
    <row r="91" spans="1:16" ht="19.5" hidden="1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hidden="1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0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hidden="1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0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hidden="1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0</v>
      </c>
      <c r="M94" s="577">
        <f ca="1">M95+M96</f>
        <v>0</v>
      </c>
      <c r="N94" s="577">
        <f ca="1">N95+N96</f>
        <v>0</v>
      </c>
      <c r="O94" s="577">
        <f ca="1">IF(L94&gt;0,N94*100/L94,0)</f>
        <v>0</v>
      </c>
      <c r="P94" s="577">
        <f ca="1">IF(M94&gt;0,N94*100/M94,0)</f>
        <v>0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hidden="1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hidden="1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IFERROR(__xludf.DUMMYFUNCTION("IMPORTRANGE(""https://docs.google.com/spreadsheets/d/1-uDff_7J0KD5mKrp0Vvzr7lt3OU09vwQwhkpOPPYv2Y/edit?usp=sharing"",""งบพรบ!AW44"")"),0)</f>
        <v>0</v>
      </c>
      <c r="M99" s="425">
        <f ca="1">IFERROR(__xludf.DUMMYFUNCTION("IMPORTRANGE(""https://docs.google.com/spreadsheets/d/1-uDff_7J0KD5mKrp0Vvzr7lt3OU09vwQwhkpOPPYv2Y/edit?usp=sharing"",""งบพรบ!BB44"")"),0)</f>
        <v>0</v>
      </c>
      <c r="N99" s="425">
        <f ca="1">IFERROR(__xludf.DUMMYFUNCTION("IMPORTRANGE(""https://docs.google.com/spreadsheets/d/1-uDff_7J0KD5mKrp0Vvzr7lt3OU09vwQwhkpOPPYv2Y/edit?usp=sharing"",""งบพรบ!BD44"")"),0)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hidden="1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IFERROR(__xludf.DUMMYFUNCTION("IMPORTRANGE(""https://docs.google.com/spreadsheets/d/1-uDff_7J0KD5mKrp0Vvzr7lt3OU09vwQwhkpOPPYv2Y/edit?usp=sharing"",""งบพรบ!AZ44"")"),0)</f>
        <v>0</v>
      </c>
      <c r="M102" s="425">
        <f ca="1">IFERROR(__xludf.DUMMYFUNCTION("IMPORTRANGE(""https://docs.google.com/spreadsheets/d/1-uDff_7J0KD5mKrp0Vvzr7lt3OU09vwQwhkpOPPYv2Y/edit?usp=sharing"",""งบพรบ!BC44"")"),0)</f>
        <v>0</v>
      </c>
      <c r="N102" s="425">
        <f ca="1">IFERROR(__xludf.DUMMYFUNCTION("IMPORTRANGE(""https://docs.google.com/spreadsheets/d/1-uDff_7J0KD5mKrp0Vvzr7lt3OU09vwQwhkpOPPYv2Y/edit?usp=sharing"",""งบพรบ!BE44"")"),0)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hidden="1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hidden="1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IFERROR(__xludf.DUMMYFUNCTION("IMPORTRANGE(""https://docs.google.com/spreadsheets/d/1eHaY18a8A9IcSdp1K8H6x8fbOy06t2VsZHhMHf-1x7Y/edit?usp=sharing"",""แผน!N44"")"),0)</f>
        <v>0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hidden="1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IFERROR(__xludf.DUMMYFUNCTION("IMPORTRANGE(""https://docs.google.com/spreadsheets/d/1eHaY18a8A9IcSdp1K8H6x8fbOy06t2VsZHhMHf-1x7Y/edit?usp=sharing"",""แผน!O44"")"),0)</f>
        <v>0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hidden="1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IFERROR(__xludf.DUMMYFUNCTION("IMPORTRANGE(""https://docs.google.com/spreadsheets/d/1eHaY18a8A9IcSdp1K8H6x8fbOy06t2VsZHhMHf-1x7Y/edit?usp=sharing"",""แผน!R44"")"),0)</f>
        <v>0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IFERROR(__xludf.DUMMYFUNCTION("IMPORTRANGE(""https://docs.google.com/spreadsheets/d/1-uDff_7J0KD5mKrp0Vvzr7lt3OU09vwQwhkpOPPYv2Y/edit?usp=sharing"",""งบพรบ!BG44"")"),0)</f>
        <v>0</v>
      </c>
      <c r="M130" s="723">
        <f ca="1">IFERROR(__xludf.DUMMYFUNCTION("IMPORTRANGE(""https://docs.google.com/spreadsheets/d/1-uDff_7J0KD5mKrp0Vvzr7lt3OU09vwQwhkpOPPYv2Y/edit?usp=sharing"",""งบพรบ!BL44"")"),0)</f>
        <v>0</v>
      </c>
      <c r="N130" s="723">
        <f ca="1">IFERROR(__xludf.DUMMYFUNCTION("IMPORTRANGE(""https://docs.google.com/spreadsheets/d/1-uDff_7J0KD5mKrp0Vvzr7lt3OU09vwQwhkpOPPYv2Y/edit?usp=sharing"",""งบพรบ!BN44"")"),0)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IFERROR(__xludf.DUMMYFUNCTION("IMPORTRANGE(""https://docs.google.com/spreadsheets/d/1-uDff_7J0KD5mKrp0Vvzr7lt3OU09vwQwhkpOPPYv2Y/edit?usp=sharing"",""งบพรบ!BJ44"")"),0)</f>
        <v>0</v>
      </c>
      <c r="M133" s="723">
        <f ca="1">IFERROR(__xludf.DUMMYFUNCTION("IMPORTRANGE(""https://docs.google.com/spreadsheets/d/1-uDff_7J0KD5mKrp0Vvzr7lt3OU09vwQwhkpOPPYv2Y/edit?usp=sharing"",""งบพรบ!BM44"")"),0)</f>
        <v>0</v>
      </c>
      <c r="N133" s="723">
        <f ca="1">IFERROR(__xludf.DUMMYFUNCTION("IMPORTRANGE(""https://docs.google.com/spreadsheets/d/1-uDff_7J0KD5mKrp0Vvzr7lt3OU09vwQwhkpOPPYv2Y/edit?usp=sharing"",""งบพรบ!BO44"")"),0)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hidden="1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hidden="1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hidden="1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0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hidden="1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0</v>
      </c>
      <c r="J137" s="705">
        <f>J152</f>
        <v>0</v>
      </c>
      <c r="K137" s="704">
        <f ca="1">IF(I137&gt;0,J137*100/I137,0)</f>
        <v>0</v>
      </c>
      <c r="L137" s="703"/>
      <c r="M137" s="703"/>
      <c r="N137" s="703"/>
      <c r="O137" s="703"/>
      <c r="P137" s="703"/>
    </row>
    <row r="138" spans="1:16" ht="19.5" hidden="1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0</v>
      </c>
      <c r="J138" s="705">
        <f>J153</f>
        <v>0</v>
      </c>
      <c r="K138" s="704">
        <f ca="1">IF(I138&gt;0,J138*100/I138,0)</f>
        <v>0</v>
      </c>
      <c r="L138" s="703"/>
      <c r="M138" s="703"/>
      <c r="N138" s="703"/>
      <c r="O138" s="703"/>
      <c r="P138" s="703"/>
    </row>
    <row r="139" spans="1:16" ht="19.5" hidden="1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0</v>
      </c>
      <c r="M139" s="577">
        <f ca="1">M140+M141</f>
        <v>0</v>
      </c>
      <c r="N139" s="577">
        <f ca="1">N140+N141</f>
        <v>0</v>
      </c>
      <c r="O139" s="577">
        <f ca="1">IF(L139&gt;0,N139*100/L139,0)</f>
        <v>0</v>
      </c>
      <c r="P139" s="577">
        <f ca="1">IF(M139&gt;0,N139*100/M139,0)</f>
        <v>0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hidden="1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0</v>
      </c>
      <c r="M141" s="425">
        <f ca="1">M144+M147</f>
        <v>0</v>
      </c>
      <c r="N141" s="425">
        <f ca="1">N144+N147</f>
        <v>0</v>
      </c>
      <c r="O141" s="425">
        <f ca="1">IF(L141&gt;0,N141*100/L141,0)</f>
        <v>0</v>
      </c>
      <c r="P141" s="425">
        <f ca="1">IF(M141&gt;0,N141*100/M141,0)</f>
        <v>0</v>
      </c>
    </row>
    <row r="142" spans="1:16" ht="18.75" hidden="1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0</v>
      </c>
      <c r="M142" s="425">
        <f ca="1">M143+M144</f>
        <v>0</v>
      </c>
      <c r="N142" s="425">
        <f ca="1">N143+N144</f>
        <v>0</v>
      </c>
      <c r="O142" s="425">
        <f ca="1">IF(L142&gt;0,N142*100/L142,0)</f>
        <v>0</v>
      </c>
      <c r="P142" s="425">
        <f ca="1">IF(M142&gt;0,N142*100/M142,0)</f>
        <v>0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hidden="1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IFERROR(__xludf.DUMMYFUNCTION("IMPORTRANGE(""https://docs.google.com/spreadsheets/d/1-uDff_7J0KD5mKrp0Vvzr7lt3OU09vwQwhkpOPPYv2Y/edit?usp=sharing"",""งบพรบ!BQ44"")"),0)</f>
        <v>0</v>
      </c>
      <c r="M144" s="425">
        <f ca="1">IFERROR(__xludf.DUMMYFUNCTION("IMPORTRANGE(""https://docs.google.com/spreadsheets/d/1-uDff_7J0KD5mKrp0Vvzr7lt3OU09vwQwhkpOPPYv2Y/edit?usp=sharing"",""งบพรบ!BV44"")"),0)</f>
        <v>0</v>
      </c>
      <c r="N144" s="425">
        <f ca="1">IFERROR(__xludf.DUMMYFUNCTION("IMPORTRANGE(""https://docs.google.com/spreadsheets/d/1-uDff_7J0KD5mKrp0Vvzr7lt3OU09vwQwhkpOPPYv2Y/edit?usp=sharing"",""งบพรบ!BX44"")"),0)</f>
        <v>0</v>
      </c>
      <c r="O144" s="425">
        <f ca="1">IF(L144&gt;0,N144*100/L144,0)</f>
        <v>0</v>
      </c>
      <c r="P144" s="425">
        <f ca="1">IF(M144&gt;0,N144*100/M144,0)</f>
        <v>0</v>
      </c>
    </row>
    <row r="145" spans="1:16" ht="18.75" hidden="1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hidden="1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IFERROR(__xludf.DUMMYFUNCTION("IMPORTRANGE(""https://docs.google.com/spreadsheets/d/1-uDff_7J0KD5mKrp0Vvzr7lt3OU09vwQwhkpOPPYv2Y/edit?usp=sharing"",""งบพรบ!BT44"")"),0)</f>
        <v>0</v>
      </c>
      <c r="M147" s="425">
        <f ca="1">IFERROR(__xludf.DUMMYFUNCTION("IMPORTRANGE(""https://docs.google.com/spreadsheets/d/1-uDff_7J0KD5mKrp0Vvzr7lt3OU09vwQwhkpOPPYv2Y/edit?usp=sharing"",""งบพรบ!BW44"")"),0)</f>
        <v>0</v>
      </c>
      <c r="N147" s="425">
        <f ca="1">IFERROR(__xludf.DUMMYFUNCTION("IMPORTRANGE(""https://docs.google.com/spreadsheets/d/1-uDff_7J0KD5mKrp0Vvzr7lt3OU09vwQwhkpOPPYv2Y/edit?usp=sharing"",""งบพรบ!BY44"")"),0)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hidden="1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hidden="1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hidden="1" x14ac:dyDescent="0.3">
      <c r="A150" s="535"/>
      <c r="B150" s="418"/>
      <c r="C150" s="418"/>
      <c r="D150" s="420"/>
      <c r="E150" s="570" t="s">
        <v>159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IFERROR(__xludf.DUMMYFUNCTION("IMPORTRANGE(""https://docs.google.com/spreadsheets/d/1eHaY18a8A9IcSdp1K8H6x8fbOy06t2VsZHhMHf-1x7Y/edit?usp=sharing"",""แผน!U44"")"),0)</f>
        <v>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hidden="1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IFERROR(__xludf.DUMMYFUNCTION("IMPORTRANGE(""https://docs.google.com/spreadsheets/d/1eHaY18a8A9IcSdp1K8H6x8fbOy06t2VsZHhMHf-1x7Y/edit?usp=sharing"",""แผน!V44"")"),0)</f>
        <v>0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hidden="1" x14ac:dyDescent="0.3">
      <c r="A152" s="535"/>
      <c r="B152" s="418"/>
      <c r="C152" s="418"/>
      <c r="D152" s="420"/>
      <c r="E152" s="570" t="s">
        <v>158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IFERROR(__xludf.DUMMYFUNCTION("IMPORTRANGE(""https://docs.google.com/spreadsheets/d/1eHaY18a8A9IcSdp1K8H6x8fbOy06t2VsZHhMHf-1x7Y/edit?usp=sharing"",""แผน!W44"")"),0)</f>
        <v>0</v>
      </c>
      <c r="J152" s="595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hidden="1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IFERROR(__xludf.DUMMYFUNCTION("IMPORTRANGE(""https://docs.google.com/spreadsheets/d/1eHaY18a8A9IcSdp1K8H6x8fbOy06t2VsZHhMHf-1x7Y/edit?usp=sharing"",""แผน!X44"")"),0)</f>
        <v>0</v>
      </c>
      <c r="J153" s="595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hidden="1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IFERROR(__xludf.DUMMYFUNCTION("IMPORTRANGE(""https://docs.google.com/spreadsheets/d/1eHaY18a8A9IcSdp1K8H6x8fbOy06t2VsZHhMHf-1x7Y/edit?usp=sharing"",""แผน!Y44"")"),0)</f>
        <v>0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hidden="1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hidden="1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I169</f>
        <v>0</v>
      </c>
      <c r="J156" s="705">
        <f>J169</f>
        <v>0</v>
      </c>
      <c r="K156" s="704">
        <f ca="1">IF(I156&gt;0,J156*100/I156,0)</f>
        <v>0</v>
      </c>
      <c r="L156" s="703"/>
      <c r="M156" s="703"/>
      <c r="N156" s="703"/>
      <c r="O156" s="703"/>
      <c r="P156" s="703"/>
    </row>
    <row r="157" spans="1:16" ht="19.5" hidden="1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hidden="1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hidden="1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hidden="1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IFERROR(__xludf.DUMMYFUNCTION("IMPORTRANGE(""https://docs.google.com/spreadsheets/d/1-uDff_7J0KD5mKrp0Vvzr7lt3OU09vwQwhkpOPPYv2Y/edit?usp=sharing"",""งบพรบ!CA44"")"),0)</f>
        <v>0</v>
      </c>
      <c r="M162" s="425">
        <f ca="1">IFERROR(__xludf.DUMMYFUNCTION("IMPORTRANGE(""https://docs.google.com/spreadsheets/d/1-uDff_7J0KD5mKrp0Vvzr7lt3OU09vwQwhkpOPPYv2Y/edit?usp=sharing"",""งบพรบ!CF44"")"),0)</f>
        <v>0</v>
      </c>
      <c r="N162" s="425">
        <f ca="1">IFERROR(__xludf.DUMMYFUNCTION("IMPORTRANGE(""https://docs.google.com/spreadsheets/d/1-uDff_7J0KD5mKrp0Vvzr7lt3OU09vwQwhkpOPPYv2Y/edit?usp=sharing"",""งบพรบ!CH44"")"),0)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hidden="1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hidden="1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IFERROR(__xludf.DUMMYFUNCTION("IMPORTRANGE(""https://docs.google.com/spreadsheets/d/1-uDff_7J0KD5mKrp0Vvzr7lt3OU09vwQwhkpOPPYv2Y/edit?usp=sharing"",""งบพรบ!CD44"")"),0)</f>
        <v>0</v>
      </c>
      <c r="M165" s="425">
        <f ca="1">IFERROR(__xludf.DUMMYFUNCTION("IMPORTRANGE(""https://docs.google.com/spreadsheets/d/1-uDff_7J0KD5mKrp0Vvzr7lt3OU09vwQwhkpOPPYv2Y/edit?usp=sharing"",""งบพรบ!CG44"")"),0)</f>
        <v>0</v>
      </c>
      <c r="N165" s="425">
        <f ca="1">IFERROR(__xludf.DUMMYFUNCTION("IMPORTRANGE(""https://docs.google.com/spreadsheets/d/1-uDff_7J0KD5mKrp0Vvzr7lt3OU09vwQwhkpOPPYv2Y/edit?usp=sharing"",""งบพรบ!CI44"")"),0)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hidden="1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hidden="1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IFERROR(__xludf.DUMMYFUNCTION("IMPORTRANGE(""https://docs.google.com/spreadsheets/d/1eHaY18a8A9IcSdp1K8H6x8fbOy06t2VsZHhMHf-1x7Y/edit?usp=sharing"",""แผน!Z44"")"),0)</f>
        <v>0</v>
      </c>
      <c r="J167" s="595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IFERROR(__xludf.DUMMYFUNCTION("IMPORTRANGE(""https://docs.google.com/spreadsheets/d/1eHaY18a8A9IcSdp1K8H6x8fbOy06t2VsZHhMHf-1x7Y/edit?usp=sharing"",""แผน!Z44"")"),0)</f>
        <v>0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IFERROR(__xludf.DUMMYFUNCTION("IMPORTRANGE(""https://docs.google.com/spreadsheets/d/1eHaY18a8A9IcSdp1K8H6x8fbOy06t2VsZHhMHf-1x7Y/edit?usp=sharing"",""แผน!Z44"")"),0)</f>
        <v>0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7</v>
      </c>
      <c r="J172" s="688">
        <f>J183+J184</f>
        <v>0</v>
      </c>
      <c r="K172" s="687">
        <f ca="1">IF(I172&gt;0,J172*100/I172,0)</f>
        <v>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19590</v>
      </c>
      <c r="M173" s="577">
        <f ca="1">M174+M175</f>
        <v>19590</v>
      </c>
      <c r="N173" s="577">
        <f ca="1">N174+N175</f>
        <v>0</v>
      </c>
      <c r="O173" s="577">
        <f ca="1">IF(L173&gt;0,N173*100/L173,0)</f>
        <v>0</v>
      </c>
      <c r="P173" s="577">
        <f ca="1">IF(M173&gt;0,N173*100/M173,0)</f>
        <v>0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19590</v>
      </c>
      <c r="N175" s="425">
        <f ca="1">N178+N181</f>
        <v>0</v>
      </c>
      <c r="O175" s="425">
        <f ca="1">IF(L175&gt;0,N175*100/L175,0)</f>
        <v>0</v>
      </c>
      <c r="P175" s="425">
        <f ca="1">IF(M175&gt;0,N175*100/M175,0)</f>
        <v>0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19590</v>
      </c>
      <c r="M176" s="425">
        <f ca="1">M177+M178</f>
        <v>19590</v>
      </c>
      <c r="N176" s="425">
        <f ca="1">N177+N178</f>
        <v>0</v>
      </c>
      <c r="O176" s="425">
        <f ca="1">IF(L176&gt;0,N176*100/L176,0)</f>
        <v>0</v>
      </c>
      <c r="P176" s="425">
        <f ca="1">IF(M176&gt;0,N176*100/M176,0)</f>
        <v>0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IFERROR(__xludf.DUMMYFUNCTION("IMPORTRANGE(""https://docs.google.com/spreadsheets/d/1-uDff_7J0KD5mKrp0Vvzr7lt3OU09vwQwhkpOPPYv2Y/edit?usp=sharing"",""งบพรบ!CK44"")"),19590)</f>
        <v>19590</v>
      </c>
      <c r="M178" s="425">
        <f ca="1">IFERROR(__xludf.DUMMYFUNCTION("IMPORTRANGE(""https://docs.google.com/spreadsheets/d/1-uDff_7J0KD5mKrp0Vvzr7lt3OU09vwQwhkpOPPYv2Y/edit?usp=sharing"",""งบพรบ!CP44"")"),19590)</f>
        <v>19590</v>
      </c>
      <c r="N178" s="425">
        <f ca="1">IFERROR(__xludf.DUMMYFUNCTION("IMPORTRANGE(""https://docs.google.com/spreadsheets/d/1-uDff_7J0KD5mKrp0Vvzr7lt3OU09vwQwhkpOPPYv2Y/edit?usp=sharing"",""งบพรบ!CR44"")"),0)</f>
        <v>0</v>
      </c>
      <c r="O178" s="425">
        <f ca="1">IF(L178&gt;0,N178*100/L178,0)</f>
        <v>0</v>
      </c>
      <c r="P178" s="425">
        <f ca="1">IF(M178&gt;0,N178*100/M178,0)</f>
        <v>0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IFERROR(__xludf.DUMMYFUNCTION("IMPORTRANGE(""https://docs.google.com/spreadsheets/d/1-uDff_7J0KD5mKrp0Vvzr7lt3OU09vwQwhkpOPPYv2Y/edit?usp=sharing"",""งบพรบ!CN44"")"),0)</f>
        <v>0</v>
      </c>
      <c r="M181" s="425">
        <f ca="1">IFERROR(__xludf.DUMMYFUNCTION("IMPORTRANGE(""https://docs.google.com/spreadsheets/d/1-uDff_7J0KD5mKrp0Vvzr7lt3OU09vwQwhkpOPPYv2Y/edit?usp=sharing"",""งบพรบ!CQ44"")"),0)</f>
        <v>0</v>
      </c>
      <c r="N181" s="425">
        <f ca="1">IFERROR(__xludf.DUMMYFUNCTION("IMPORTRANGE(""https://docs.google.com/spreadsheets/d/1-uDff_7J0KD5mKrp0Vvzr7lt3OU09vwQwhkpOPPYv2Y/edit?usp=sharing"",""งบพรบ!CS44"")"),0)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IFERROR(__xludf.DUMMYFUNCTION("IMPORTRANGE(""https://docs.google.com/spreadsheets/d/1eHaY18a8A9IcSdp1K8H6x8fbOy06t2VsZHhMHf-1x7Y/edit?usp=sharing"",""แผน!AA44"")"),7)</f>
        <v>7</v>
      </c>
      <c r="J183" s="595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0</v>
      </c>
      <c r="J185" s="688">
        <f>J230+J231</f>
        <v>0</v>
      </c>
      <c r="K185" s="687">
        <f ca="1">IF(I185&gt;0,J185*100/I185,0)</f>
        <v>0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177300</v>
      </c>
      <c r="M186" s="577">
        <f ca="1">M187+M188</f>
        <v>121500</v>
      </c>
      <c r="N186" s="577">
        <f ca="1">N187+N188</f>
        <v>11910</v>
      </c>
      <c r="O186" s="577">
        <f ca="1">IF(L186&gt;0,N186*100/L186,0)</f>
        <v>6.7174280879864634</v>
      </c>
      <c r="P186" s="577">
        <f ca="1">IF(M186&gt;0,N186*100/M186,0)</f>
        <v>9.8024691358024683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177300</v>
      </c>
      <c r="M188" s="425">
        <f ca="1">M191+M194</f>
        <v>121500</v>
      </c>
      <c r="N188" s="425">
        <f ca="1">N191+N194</f>
        <v>11910</v>
      </c>
      <c r="O188" s="425">
        <f ca="1">IF(L188&gt;0,N188*100/L188,0)</f>
        <v>6.7174280879864634</v>
      </c>
      <c r="P188" s="425">
        <f ca="1">IF(M188&gt;0,N188*100/M188,0)</f>
        <v>9.8024691358024683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177300</v>
      </c>
      <c r="M189" s="425">
        <f ca="1">M190+M191</f>
        <v>121500</v>
      </c>
      <c r="N189" s="425">
        <f ca="1">N190+N191</f>
        <v>11910</v>
      </c>
      <c r="O189" s="425">
        <f ca="1">IF(L189&gt;0,N189*100/L189,0)</f>
        <v>6.7174280879864634</v>
      </c>
      <c r="P189" s="425">
        <f ca="1">IF(M189&gt;0,N189*100/M189,0)</f>
        <v>9.8024691358024683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IFERROR(__xludf.DUMMYFUNCTION("IMPORTRANGE(""https://docs.google.com/spreadsheets/d/1-uDff_7J0KD5mKrp0Vvzr7lt3OU09vwQwhkpOPPYv2Y/edit?usp=sharing"",""งบพรบ!CU44"")"),177300)</f>
        <v>177300</v>
      </c>
      <c r="M191" s="425">
        <f ca="1">IFERROR(__xludf.DUMMYFUNCTION("IMPORTRANGE(""https://docs.google.com/spreadsheets/d/1-uDff_7J0KD5mKrp0Vvzr7lt3OU09vwQwhkpOPPYv2Y/edit?usp=sharing"",""งบพรบ!CZ44"")"),121500)</f>
        <v>121500</v>
      </c>
      <c r="N191" s="425">
        <f ca="1">IFERROR(__xludf.DUMMYFUNCTION("IMPORTRANGE(""https://docs.google.com/spreadsheets/d/1-uDff_7J0KD5mKrp0Vvzr7lt3OU09vwQwhkpOPPYv2Y/edit?usp=sharing"",""งบพรบ!DB44"")"),11910)</f>
        <v>11910</v>
      </c>
      <c r="O191" s="425">
        <f ca="1">IF(L191&gt;0,N191*100/L191,0)</f>
        <v>6.7174280879864634</v>
      </c>
      <c r="P191" s="425">
        <f ca="1">IF(M191&gt;0,N191*100/M191,0)</f>
        <v>9.8024691358024683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IFERROR(__xludf.DUMMYFUNCTION("IMPORTRANGE(""https://docs.google.com/spreadsheets/d/1-uDff_7J0KD5mKrp0Vvzr7lt3OU09vwQwhkpOPPYv2Y/edit?usp=sharing"",""งบพรบ!CX44"")"),0)</f>
        <v>0</v>
      </c>
      <c r="M194" s="425">
        <f ca="1">IFERROR(__xludf.DUMMYFUNCTION("IMPORTRANGE(""https://docs.google.com/spreadsheets/d/1-uDff_7J0KD5mKrp0Vvzr7lt3OU09vwQwhkpOPPYv2Y/edit?usp=sharing"",""งบพรบ!DA44"")"),0)</f>
        <v>0</v>
      </c>
      <c r="N194" s="425">
        <f ca="1">IFERROR(__xludf.DUMMYFUNCTION("IMPORTRANGE(""https://docs.google.com/spreadsheets/d/1-uDff_7J0KD5mKrp0Vvzr7lt3OU09vwQwhkpOPPYv2Y/edit?usp=sharing"",""งบพรบ!DC44"")"),0)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0</v>
      </c>
      <c r="K195" s="439">
        <f ca="1">IF(I195&gt;0,J195*100/I195,0)</f>
        <v>0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IFERROR(__xludf.DUMMYFUNCTION("IMPORTRANGE(""https://docs.google.com/spreadsheets/d/1eHaY18a8A9IcSdp1K8H6x8fbOy06t2VsZHhMHf-1x7Y/edit?usp=sharing"",""แผน!AB44"")"),6000)</f>
        <v>6000</v>
      </c>
      <c r="M196" s="428"/>
      <c r="N196" s="686">
        <v>0</v>
      </c>
      <c r="O196" s="577">
        <f ca="1">IF(L196&gt;0,N196*100/L196,0)</f>
        <v>0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IFERROR(__xludf.DUMMYFUNCTION("IMPORTRANGE(""https://docs.google.com/spreadsheets/d/1eHaY18a8A9IcSdp1K8H6x8fbOy06t2VsZHhMHf-1x7Y/edit?usp=sharing"",""แผน!AE44"")"),4)</f>
        <v>4</v>
      </c>
      <c r="J198" s="595">
        <v>0</v>
      </c>
      <c r="K198" s="425">
        <f ca="1">IF(I198&gt;0,J198*100/I198,0)</f>
        <v>0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5</v>
      </c>
      <c r="J202" s="438">
        <f>J209</f>
        <v>0</v>
      </c>
      <c r="K202" s="439">
        <f ca="1">IF(I202&gt;0,J202*100/I202,0)</f>
        <v>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65000</v>
      </c>
      <c r="M203" s="428"/>
      <c r="N203" s="577">
        <f>N204+N205+N206+N207</f>
        <v>0</v>
      </c>
      <c r="O203" s="577">
        <f ca="1">IF(L203&gt;0,N203*100/L203,0)</f>
        <v>0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2" t="s">
        <v>157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IFERROR(__xludf.DUMMYFUNCTION("IMPORTRANGE(""https://docs.google.com/spreadsheets/d/1eHaY18a8A9IcSdp1K8H6x8fbOy06t2VsZHhMHf-1x7Y/edit?usp=sharing"",""แผน!AG44"")"),5000)</f>
        <v>5000</v>
      </c>
      <c r="M204" s="428"/>
      <c r="N204" s="683">
        <v>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IFERROR(__xludf.DUMMYFUNCTION("IMPORTRANGE(""https://docs.google.com/spreadsheets/d/1eHaY18a8A9IcSdp1K8H6x8fbOy06t2VsZHhMHf-1x7Y/edit?usp=sharing"",""แผน!AH44"")"),0)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IFERROR(__xludf.DUMMYFUNCTION("IMPORTRANGE(""https://docs.google.com/spreadsheets/d/1eHaY18a8A9IcSdp1K8H6x8fbOy06t2VsZHhMHf-1x7Y/edit?usp=sharing"",""แผน!AI44"")"),40000)</f>
        <v>40000</v>
      </c>
      <c r="M206" s="428"/>
      <c r="N206" s="683">
        <v>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IFERROR(__xludf.DUMMYFUNCTION("IMPORTRANGE(""https://docs.google.com/spreadsheets/d/1eHaY18a8A9IcSdp1K8H6x8fbOy06t2VsZHhMHf-1x7Y/edit?usp=sharing"",""แผน!AJ44"")"),20000)</f>
        <v>20000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IFERROR(__xludf.DUMMYFUNCTION("IMPORTRANGE(""https://docs.google.com/spreadsheets/d/1eHaY18a8A9IcSdp1K8H6x8fbOy06t2VsZHhMHf-1x7Y/edit?usp=sharing"",""แผน!AK44"")"),5)</f>
        <v>5</v>
      </c>
      <c r="J209" s="595">
        <v>0</v>
      </c>
      <c r="K209" s="621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IFERROR(__xludf.DUMMYFUNCTION("IMPORTRANGE(""https://docs.google.com/spreadsheets/d/1eHaY18a8A9IcSdp1K8H6x8fbOy06t2VsZHhMHf-1x7Y/edit?usp=sharing"",""แผน!JX44"")"),5)</f>
        <v>5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IFERROR(__xludf.DUMMYFUNCTION("IMPORTRANGE(""https://docs.google.com/spreadsheets/d/1eHaY18a8A9IcSdp1K8H6x8fbOy06t2VsZHhMHf-1x7Y/edit?usp=sharing"",""แผน!JY44"")"),0)</f>
        <v>0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1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14000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IFERROR(__xludf.DUMMYFUNCTION("IMPORTRANGE(""https://docs.google.com/spreadsheets/d/1eHaY18a8A9IcSdp1K8H6x8fbOy06t2VsZHhMHf-1x7Y/edit?usp=sharing"",""แผน!AM44"")"),1000)</f>
        <v>1000</v>
      </c>
      <c r="M215" s="428"/>
      <c r="N215" s="683">
        <v>0</v>
      </c>
      <c r="O215" s="525"/>
      <c r="P215" s="428"/>
    </row>
    <row r="216" spans="1:16" ht="18.75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IFERROR(__xludf.DUMMYFUNCTION("IMPORTRANGE(""https://docs.google.com/spreadsheets/d/1eHaY18a8A9IcSdp1K8H6x8fbOy06t2VsZHhMHf-1x7Y/edit?usp=sharing"",""แผน!AN44"")"),5000)</f>
        <v>5000</v>
      </c>
      <c r="M216" s="428"/>
      <c r="N216" s="683">
        <v>0</v>
      </c>
      <c r="O216" s="525"/>
      <c r="P216" s="428"/>
    </row>
    <row r="217" spans="1:16" ht="18.75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IFERROR(__xludf.DUMMYFUNCTION("IMPORTRANGE(""https://docs.google.com/spreadsheets/d/1eHaY18a8A9IcSdp1K8H6x8fbOy06t2VsZHhMHf-1x7Y/edit?usp=sharing"",""แผน!AO44"")"),8000)</f>
        <v>8000</v>
      </c>
      <c r="M217" s="428"/>
      <c r="N217" s="683">
        <v>0</v>
      </c>
      <c r="O217" s="525"/>
      <c r="P217" s="428"/>
    </row>
    <row r="218" spans="1:16" ht="19.5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IFERROR(__xludf.DUMMYFUNCTION("IMPORTRANGE(""https://docs.google.com/spreadsheets/d/1eHaY18a8A9IcSdp1K8H6x8fbOy06t2VsZHhMHf-1x7Y/edit?usp=sharing"",""แผน!AP44"")"),1)</f>
        <v>1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IFERROR(__xludf.DUMMYFUNCTION("IMPORTRANGE(""https://docs.google.com/spreadsheets/d/1eHaY18a8A9IcSdp1K8H6x8fbOy06t2VsZHhMHf-1x7Y/edit?usp=sharing"",""แผน!AP44"")"),1)</f>
        <v>1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10000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4500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2" t="s">
        <v>156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IFERROR(__xludf.DUMMYFUNCTION("IMPORTRANGE(""https://docs.google.com/spreadsheets/d/1eHaY18a8A9IcSdp1K8H6x8fbOy06t2VsZHhMHf-1x7Y/edit?usp=sharing"",""แผน!AR44"")"),3000)</f>
        <v>3000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IFERROR(__xludf.DUMMYFUNCTION("IMPORTRANGE(""https://docs.google.com/spreadsheets/d/1eHaY18a8A9IcSdp1K8H6x8fbOy06t2VsZHhMHf-1x7Y/edit?usp=sharing"",""แผน!AS44"")"),1500)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IFERROR(__xludf.DUMMYFUNCTION("IMPORTRANGE(""https://docs.google.com/spreadsheets/d/1eHaY18a8A9IcSdp1K8H6x8fbOy06t2VsZHhMHf-1x7Y/edit?usp=sharing"",""แผน!AT44"")"),0)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IFERROR(__xludf.DUMMYFUNCTION("IMPORTRANGE(""https://docs.google.com/spreadsheets/d/1eHaY18a8A9IcSdp1K8H6x8fbOy06t2VsZHhMHf-1x7Y/edit?usp=sharing"",""แผน!AV44"")"),10000)</f>
        <v>10000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IFERROR(__xludf.DUMMYFUNCTION("IMPORTRANGE(""https://docs.google.com/spreadsheets/d/1eHaY18a8A9IcSdp1K8H6x8fbOy06t2VsZHhMHf-1x7Y/edit?usp=sharing"",""แผน!AV44"")"),10000)</f>
        <v>10000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IFERROR(__xludf.DUMMYFUNCTION("IMPORTRANGE(""https://docs.google.com/spreadsheets/d/1eHaY18a8A9IcSdp1K8H6x8fbOy06t2VsZHhMHf-1x7Y/edit?usp=sharing"",""แผน!AU44"")"),0)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432"/>
      <c r="B231" s="434"/>
      <c r="C231" s="682" t="s">
        <v>99</v>
      </c>
      <c r="D231" s="433"/>
      <c r="E231" s="433"/>
      <c r="F231" s="433"/>
      <c r="G231" s="436"/>
      <c r="H231" s="437" t="s">
        <v>33</v>
      </c>
      <c r="I231" s="438">
        <f ca="1">I242+I253</f>
        <v>0</v>
      </c>
      <c r="J231" s="438">
        <f>J242+J253</f>
        <v>0</v>
      </c>
      <c r="K231" s="439">
        <f ca="1">IF(I231&gt;0,J231*100/I231,0)</f>
        <v>0</v>
      </c>
      <c r="L231" s="571"/>
      <c r="M231" s="571"/>
      <c r="N231" s="571"/>
      <c r="O231" s="571"/>
      <c r="P231" s="571"/>
    </row>
    <row r="232" spans="1:16" ht="19.5" hidden="1" x14ac:dyDescent="0.3">
      <c r="A232" s="535"/>
      <c r="B232" s="418"/>
      <c r="C232" s="570" t="s">
        <v>16</v>
      </c>
      <c r="D232" s="579" t="s">
        <v>17</v>
      </c>
      <c r="E232" s="418"/>
      <c r="F232" s="418"/>
      <c r="G232" s="422"/>
      <c r="H232" s="681" t="s">
        <v>12</v>
      </c>
      <c r="I232" s="526"/>
      <c r="J232" s="526"/>
      <c r="K232" s="525"/>
      <c r="L232" s="577">
        <f ca="1">L243+L254</f>
        <v>0</v>
      </c>
      <c r="M232" s="428"/>
      <c r="N232" s="577">
        <f>N243+N254</f>
        <v>0</v>
      </c>
      <c r="O232" s="428"/>
      <c r="P232" s="428"/>
    </row>
    <row r="233" spans="1:16" ht="18.75" hidden="1" x14ac:dyDescent="0.25">
      <c r="A233" s="535"/>
      <c r="B233" s="419"/>
      <c r="C233" s="418"/>
      <c r="D233" s="293" t="s">
        <v>80</v>
      </c>
      <c r="E233" s="418"/>
      <c r="F233" s="418"/>
      <c r="G233" s="422"/>
      <c r="H233" s="576" t="s">
        <v>12</v>
      </c>
      <c r="I233" s="526"/>
      <c r="J233" s="526"/>
      <c r="K233" s="525"/>
      <c r="L233" s="425">
        <f ca="1">L244+L255</f>
        <v>0</v>
      </c>
      <c r="M233" s="428"/>
      <c r="N233" s="425">
        <f>N244+N255</f>
        <v>0</v>
      </c>
      <c r="O233" s="428"/>
      <c r="P233" s="428"/>
    </row>
    <row r="234" spans="1:16" ht="18.75" hidden="1" x14ac:dyDescent="0.25">
      <c r="A234" s="417"/>
      <c r="B234" s="419"/>
      <c r="C234" s="419"/>
      <c r="D234" s="293" t="s">
        <v>82</v>
      </c>
      <c r="E234" s="418"/>
      <c r="F234" s="418"/>
      <c r="G234" s="422"/>
      <c r="H234" s="576" t="s">
        <v>12</v>
      </c>
      <c r="I234" s="427"/>
      <c r="J234" s="427"/>
      <c r="K234" s="428"/>
      <c r="L234" s="425">
        <f ca="1">L245+L256</f>
        <v>0</v>
      </c>
      <c r="M234" s="428"/>
      <c r="N234" s="425">
        <f>N245+N256</f>
        <v>0</v>
      </c>
      <c r="O234" s="428"/>
      <c r="P234" s="428"/>
    </row>
    <row r="235" spans="1:16" ht="18.75" hidden="1" x14ac:dyDescent="0.25">
      <c r="A235" s="417"/>
      <c r="B235" s="419"/>
      <c r="C235" s="419"/>
      <c r="D235" s="293" t="s">
        <v>100</v>
      </c>
      <c r="E235" s="418"/>
      <c r="F235" s="418"/>
      <c r="G235" s="422"/>
      <c r="H235" s="576" t="s">
        <v>12</v>
      </c>
      <c r="I235" s="427"/>
      <c r="J235" s="427"/>
      <c r="K235" s="428"/>
      <c r="L235" s="425">
        <f ca="1">L246+L257</f>
        <v>0</v>
      </c>
      <c r="M235" s="428"/>
      <c r="N235" s="425">
        <f>N246+N257</f>
        <v>0</v>
      </c>
      <c r="O235" s="428"/>
      <c r="P235" s="428"/>
    </row>
    <row r="236" spans="1:16" ht="18.75" hidden="1" x14ac:dyDescent="0.25">
      <c r="A236" s="417"/>
      <c r="B236" s="419"/>
      <c r="C236" s="419"/>
      <c r="D236" s="293" t="s">
        <v>101</v>
      </c>
      <c r="E236" s="418"/>
      <c r="F236" s="418"/>
      <c r="G236" s="422"/>
      <c r="H236" s="576" t="s">
        <v>12</v>
      </c>
      <c r="I236" s="427"/>
      <c r="J236" s="427"/>
      <c r="K236" s="428"/>
      <c r="L236" s="425">
        <f ca="1">L247+L258</f>
        <v>0</v>
      </c>
      <c r="M236" s="428"/>
      <c r="N236" s="425">
        <f>N247+N258</f>
        <v>0</v>
      </c>
      <c r="O236" s="428"/>
      <c r="P236" s="428"/>
    </row>
    <row r="237" spans="1:16" ht="19.5" hidden="1" x14ac:dyDescent="0.3">
      <c r="A237" s="532"/>
      <c r="B237" s="430"/>
      <c r="C237" s="680" t="s">
        <v>16</v>
      </c>
      <c r="D237" s="569" t="s">
        <v>36</v>
      </c>
      <c r="E237" s="529"/>
      <c r="F237" s="529"/>
      <c r="G237" s="528"/>
      <c r="H237" s="527"/>
      <c r="I237" s="526"/>
      <c r="J237" s="427"/>
      <c r="K237" s="428"/>
      <c r="L237" s="428"/>
      <c r="M237" s="428"/>
      <c r="N237" s="428"/>
      <c r="O237" s="525"/>
      <c r="P237" s="525"/>
    </row>
    <row r="238" spans="1:16" ht="18.75" hidden="1" x14ac:dyDescent="0.25">
      <c r="A238" s="532"/>
      <c r="B238" s="430"/>
      <c r="C238" s="430"/>
      <c r="D238" s="421" t="s">
        <v>102</v>
      </c>
      <c r="E238" s="420"/>
      <c r="F238" s="420"/>
      <c r="G238" s="527"/>
      <c r="H238" s="566" t="s">
        <v>33</v>
      </c>
      <c r="I238" s="424">
        <f ca="1">I249+I260</f>
        <v>0</v>
      </c>
      <c r="J238" s="424">
        <f>J249+J260</f>
        <v>0</v>
      </c>
      <c r="K238" s="425">
        <f ca="1">IF(I238&gt;0,J238*100/I238,0)</f>
        <v>0</v>
      </c>
      <c r="L238" s="428"/>
      <c r="M238" s="428"/>
      <c r="N238" s="428"/>
      <c r="O238" s="428"/>
      <c r="P238" s="428"/>
    </row>
    <row r="239" spans="1:16" ht="18.75" hidden="1" x14ac:dyDescent="0.25">
      <c r="A239" s="532"/>
      <c r="B239" s="430"/>
      <c r="C239" s="430"/>
      <c r="D239" s="679" t="s">
        <v>41</v>
      </c>
      <c r="E239" s="420"/>
      <c r="F239" s="420"/>
      <c r="G239" s="527"/>
      <c r="H239" s="527"/>
      <c r="I239" s="427"/>
      <c r="J239" s="427"/>
      <c r="K239" s="428"/>
      <c r="L239" s="428"/>
      <c r="M239" s="428"/>
      <c r="N239" s="428"/>
      <c r="O239" s="525"/>
      <c r="P239" s="525"/>
    </row>
    <row r="240" spans="1:16" ht="18.75" hidden="1" x14ac:dyDescent="0.25">
      <c r="A240" s="532"/>
      <c r="B240" s="430"/>
      <c r="C240" s="430"/>
      <c r="D240" s="430"/>
      <c r="E240" s="567" t="s">
        <v>103</v>
      </c>
      <c r="F240" s="420"/>
      <c r="G240" s="527"/>
      <c r="H240" s="566" t="s">
        <v>33</v>
      </c>
      <c r="I240" s="424">
        <f>I251+I262</f>
        <v>0</v>
      </c>
      <c r="J240" s="424">
        <f>J251+J262</f>
        <v>0</v>
      </c>
      <c r="K240" s="425">
        <f>IF(I240&gt;0,J240*100/I240,0)</f>
        <v>0</v>
      </c>
      <c r="L240" s="428"/>
      <c r="M240" s="428"/>
      <c r="N240" s="428"/>
      <c r="O240" s="428"/>
      <c r="P240" s="428"/>
    </row>
    <row r="241" spans="1:16" ht="18.75" hidden="1" x14ac:dyDescent="0.25">
      <c r="A241" s="532"/>
      <c r="B241" s="430"/>
      <c r="C241" s="430"/>
      <c r="D241" s="430"/>
      <c r="E241" s="567" t="s">
        <v>104</v>
      </c>
      <c r="F241" s="420"/>
      <c r="G241" s="527"/>
      <c r="H241" s="566" t="s">
        <v>54</v>
      </c>
      <c r="I241" s="424">
        <f>I252+I263</f>
        <v>0</v>
      </c>
      <c r="J241" s="424">
        <f>J252+J263</f>
        <v>0</v>
      </c>
      <c r="K241" s="425">
        <f>IF(I241&gt;0,J241*100/I241,0)</f>
        <v>0</v>
      </c>
      <c r="L241" s="428"/>
      <c r="M241" s="428"/>
      <c r="N241" s="428"/>
      <c r="O241" s="428"/>
      <c r="P241" s="428"/>
    </row>
    <row r="242" spans="1:16" ht="19.5" hidden="1" x14ac:dyDescent="0.3">
      <c r="A242" s="432"/>
      <c r="B242" s="434"/>
      <c r="C242" s="678" t="s">
        <v>105</v>
      </c>
      <c r="D242" s="433"/>
      <c r="E242" s="433"/>
      <c r="F242" s="433"/>
      <c r="G242" s="436"/>
      <c r="H242" s="677" t="s">
        <v>33</v>
      </c>
      <c r="I242" s="676">
        <f ca="1">I249</f>
        <v>0</v>
      </c>
      <c r="J242" s="676">
        <f>J249</f>
        <v>0</v>
      </c>
      <c r="K242" s="675">
        <f ca="1">IF(I242&gt;0,J242*100/I242,0)</f>
        <v>0</v>
      </c>
      <c r="L242" s="571"/>
      <c r="M242" s="571"/>
      <c r="N242" s="571"/>
      <c r="O242" s="571"/>
      <c r="P242" s="571"/>
    </row>
    <row r="243" spans="1:16" ht="19.5" hidden="1" x14ac:dyDescent="0.3">
      <c r="A243" s="535"/>
      <c r="B243" s="418"/>
      <c r="C243" s="531" t="s">
        <v>16</v>
      </c>
      <c r="D243" s="541" t="s">
        <v>17</v>
      </c>
      <c r="E243" s="418"/>
      <c r="F243" s="418"/>
      <c r="G243" s="422"/>
      <c r="H243" s="673" t="s">
        <v>12</v>
      </c>
      <c r="I243" s="526"/>
      <c r="J243" s="526"/>
      <c r="K243" s="525"/>
      <c r="L243" s="539">
        <f ca="1">L244+L245+L246+L247</f>
        <v>0</v>
      </c>
      <c r="M243" s="428"/>
      <c r="N243" s="539">
        <f>N244+N245+N246+N247</f>
        <v>0</v>
      </c>
      <c r="O243" s="539">
        <f ca="1">IF(L243&gt;0,N243*100/L243,0)</f>
        <v>0</v>
      </c>
      <c r="P243" s="539">
        <f>IF(M243&gt;0,N243*100/M243,0)</f>
        <v>0</v>
      </c>
    </row>
    <row r="244" spans="1:16" ht="18.75" hidden="1" x14ac:dyDescent="0.25">
      <c r="A244" s="535"/>
      <c r="B244" s="419"/>
      <c r="C244" s="418"/>
      <c r="D244" s="534" t="s">
        <v>80</v>
      </c>
      <c r="E244" s="418"/>
      <c r="F244" s="418"/>
      <c r="G244" s="422"/>
      <c r="H244" s="536" t="s">
        <v>12</v>
      </c>
      <c r="I244" s="526"/>
      <c r="J244" s="526"/>
      <c r="K244" s="525"/>
      <c r="L244" s="521">
        <f ca="1">IFERROR(__xludf.DUMMYFUNCTION("IMPORTRANGE(""https://docs.google.com/spreadsheets/d/1eHaY18a8A9IcSdp1K8H6x8fbOy06t2VsZHhMHf-1x7Y/edit?usp=sharing"",""แผน!AX44"")"),0)</f>
        <v>0</v>
      </c>
      <c r="M244" s="428"/>
      <c r="N244" s="672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34" t="s">
        <v>82</v>
      </c>
      <c r="E245" s="418"/>
      <c r="F245" s="418"/>
      <c r="G245" s="422"/>
      <c r="H245" s="536" t="s">
        <v>12</v>
      </c>
      <c r="I245" s="427"/>
      <c r="J245" s="427"/>
      <c r="K245" s="428"/>
      <c r="L245" s="521">
        <f ca="1">IFERROR(__xludf.DUMMYFUNCTION("IMPORTRANGE(""https://docs.google.com/spreadsheets/d/1eHaY18a8A9IcSdp1K8H6x8fbOy06t2VsZHhMHf-1x7Y/edit?usp=sharing"",""แผน!AY44"")"),0)</f>
        <v>0</v>
      </c>
      <c r="M245" s="428"/>
      <c r="N245" s="672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34" t="s">
        <v>100</v>
      </c>
      <c r="E246" s="418"/>
      <c r="F246" s="418"/>
      <c r="G246" s="422"/>
      <c r="H246" s="536" t="s">
        <v>12</v>
      </c>
      <c r="I246" s="427"/>
      <c r="J246" s="427"/>
      <c r="K246" s="428"/>
      <c r="L246" s="521">
        <f ca="1">IFERROR(__xludf.DUMMYFUNCTION("IMPORTRANGE(""https://docs.google.com/spreadsheets/d/1eHaY18a8A9IcSdp1K8H6x8fbOy06t2VsZHhMHf-1x7Y/edit?usp=sharing"",""แผน!AZ44"")"),0)</f>
        <v>0</v>
      </c>
      <c r="M246" s="428"/>
      <c r="N246" s="672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34" t="s">
        <v>101</v>
      </c>
      <c r="E247" s="418"/>
      <c r="F247" s="418"/>
      <c r="G247" s="422"/>
      <c r="H247" s="536" t="s">
        <v>12</v>
      </c>
      <c r="I247" s="427"/>
      <c r="J247" s="427"/>
      <c r="K247" s="428"/>
      <c r="L247" s="521">
        <f ca="1">IFERROR(__xludf.DUMMYFUNCTION("IMPORTRANGE(""https://docs.google.com/spreadsheets/d/1eHaY18a8A9IcSdp1K8H6x8fbOy06t2VsZHhMHf-1x7Y/edit?usp=sharing"",""แผน!BA44"")"),0)</f>
        <v>0</v>
      </c>
      <c r="M247" s="428"/>
      <c r="N247" s="672">
        <v>0</v>
      </c>
      <c r="O247" s="428"/>
      <c r="P247" s="428"/>
    </row>
    <row r="248" spans="1:16" ht="19.5" hidden="1" x14ac:dyDescent="0.3">
      <c r="A248" s="532"/>
      <c r="B248" s="430"/>
      <c r="C248" s="671" t="s">
        <v>16</v>
      </c>
      <c r="D248" s="530" t="s">
        <v>36</v>
      </c>
      <c r="E248" s="529"/>
      <c r="F248" s="529"/>
      <c r="G248" s="528"/>
      <c r="H248" s="527"/>
      <c r="I248" s="526"/>
      <c r="J248" s="427"/>
      <c r="K248" s="428"/>
      <c r="L248" s="428"/>
      <c r="M248" s="428"/>
      <c r="N248" s="428"/>
      <c r="O248" s="525"/>
      <c r="P248" s="525"/>
    </row>
    <row r="249" spans="1:16" ht="18.75" hidden="1" x14ac:dyDescent="0.25">
      <c r="A249" s="532"/>
      <c r="B249" s="430"/>
      <c r="C249" s="430"/>
      <c r="D249" s="524" t="s">
        <v>102</v>
      </c>
      <c r="E249" s="420"/>
      <c r="F249" s="420"/>
      <c r="G249" s="527"/>
      <c r="H249" s="668" t="s">
        <v>33</v>
      </c>
      <c r="I249" s="199">
        <f ca="1">IFERROR(__xludf.DUMMYFUNCTION("IMPORTRANGE(""https://docs.google.com/spreadsheets/d/1eHaY18a8A9IcSdp1K8H6x8fbOy06t2VsZHhMHf-1x7Y/edit?usp=sharing"",""แผน!BG44"")"),0)</f>
        <v>0</v>
      </c>
      <c r="J249" s="522">
        <v>0</v>
      </c>
      <c r="K249" s="521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2"/>
      <c r="B250" s="430"/>
      <c r="C250" s="430"/>
      <c r="D250" s="670" t="s">
        <v>41</v>
      </c>
      <c r="E250" s="420"/>
      <c r="F250" s="420"/>
      <c r="G250" s="527"/>
      <c r="H250" s="527"/>
      <c r="I250" s="427"/>
      <c r="J250" s="427"/>
      <c r="K250" s="428"/>
      <c r="L250" s="428"/>
      <c r="M250" s="428"/>
      <c r="N250" s="428"/>
      <c r="O250" s="525"/>
      <c r="P250" s="525"/>
    </row>
    <row r="251" spans="1:16" ht="18.75" hidden="1" x14ac:dyDescent="0.25">
      <c r="A251" s="532"/>
      <c r="B251" s="430"/>
      <c r="C251" s="430"/>
      <c r="D251" s="430"/>
      <c r="E251" s="669" t="s">
        <v>103</v>
      </c>
      <c r="F251" s="420"/>
      <c r="G251" s="527"/>
      <c r="H251" s="668" t="s">
        <v>33</v>
      </c>
      <c r="I251" s="199">
        <v>0</v>
      </c>
      <c r="J251" s="522">
        <v>0</v>
      </c>
      <c r="K251" s="521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2"/>
      <c r="B252" s="430"/>
      <c r="C252" s="430"/>
      <c r="D252" s="430"/>
      <c r="E252" s="669" t="s">
        <v>104</v>
      </c>
      <c r="F252" s="420"/>
      <c r="G252" s="527"/>
      <c r="H252" s="668" t="s">
        <v>54</v>
      </c>
      <c r="I252" s="199">
        <v>0</v>
      </c>
      <c r="J252" s="522">
        <v>0</v>
      </c>
      <c r="K252" s="521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78" t="s">
        <v>106</v>
      </c>
      <c r="D253" s="433"/>
      <c r="E253" s="433"/>
      <c r="F253" s="433"/>
      <c r="G253" s="436"/>
      <c r="H253" s="677" t="s">
        <v>33</v>
      </c>
      <c r="I253" s="676">
        <f ca="1">I260</f>
        <v>0</v>
      </c>
      <c r="J253" s="676">
        <f>J260</f>
        <v>0</v>
      </c>
      <c r="K253" s="675">
        <f ca="1">IF(I253&gt;0,J253*100/I253,0)</f>
        <v>0</v>
      </c>
      <c r="L253" s="571"/>
      <c r="M253" s="571"/>
      <c r="N253" s="571"/>
      <c r="O253" s="571"/>
      <c r="P253" s="571"/>
    </row>
    <row r="254" spans="1:16" ht="19.5" hidden="1" x14ac:dyDescent="0.3">
      <c r="A254" s="535"/>
      <c r="B254" s="418"/>
      <c r="C254" s="531" t="s">
        <v>16</v>
      </c>
      <c r="D254" s="674" t="s">
        <v>17</v>
      </c>
      <c r="E254" s="418"/>
      <c r="F254" s="418"/>
      <c r="G254" s="422"/>
      <c r="H254" s="673" t="s">
        <v>12</v>
      </c>
      <c r="I254" s="526"/>
      <c r="J254" s="526"/>
      <c r="K254" s="525"/>
      <c r="L254" s="539">
        <f ca="1">L255+L256+L257+L258</f>
        <v>0</v>
      </c>
      <c r="M254" s="428"/>
      <c r="N254" s="539">
        <f>N255+N256+N257+N258</f>
        <v>0</v>
      </c>
      <c r="O254" s="539">
        <f ca="1">IF(L254&gt;0,N254*100/L254,0)</f>
        <v>0</v>
      </c>
      <c r="P254" s="539">
        <f>IF(M254&gt;0,N254*100/M254,0)</f>
        <v>0</v>
      </c>
    </row>
    <row r="255" spans="1:16" ht="18.75" hidden="1" x14ac:dyDescent="0.25">
      <c r="A255" s="535"/>
      <c r="B255" s="419"/>
      <c r="C255" s="418"/>
      <c r="D255" s="534" t="s">
        <v>80</v>
      </c>
      <c r="E255" s="418"/>
      <c r="F255" s="418"/>
      <c r="G255" s="422"/>
      <c r="H255" s="536" t="s">
        <v>12</v>
      </c>
      <c r="I255" s="526"/>
      <c r="J255" s="526"/>
      <c r="K255" s="525"/>
      <c r="L255" s="521">
        <f ca="1">IFERROR(__xludf.DUMMYFUNCTION("IMPORTRANGE(""https://docs.google.com/spreadsheets/d/1eHaY18a8A9IcSdp1K8H6x8fbOy06t2VsZHhMHf-1x7Y/edit?usp=sharing"",""แผน!BB44"")"),0)</f>
        <v>0</v>
      </c>
      <c r="M255" s="428"/>
      <c r="N255" s="672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34" t="s">
        <v>82</v>
      </c>
      <c r="E256" s="418"/>
      <c r="F256" s="418"/>
      <c r="G256" s="422"/>
      <c r="H256" s="536" t="s">
        <v>12</v>
      </c>
      <c r="I256" s="427"/>
      <c r="J256" s="427"/>
      <c r="K256" s="428"/>
      <c r="L256" s="521">
        <f ca="1">IFERROR(__xludf.DUMMYFUNCTION("IMPORTRANGE(""https://docs.google.com/spreadsheets/d/1eHaY18a8A9IcSdp1K8H6x8fbOy06t2VsZHhMHf-1x7Y/edit?usp=sharing"",""แผน!BC44"")"),0)</f>
        <v>0</v>
      </c>
      <c r="M256" s="428"/>
      <c r="N256" s="672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34" t="s">
        <v>100</v>
      </c>
      <c r="E257" s="418"/>
      <c r="F257" s="418"/>
      <c r="G257" s="422"/>
      <c r="H257" s="536" t="s">
        <v>12</v>
      </c>
      <c r="I257" s="427"/>
      <c r="J257" s="427"/>
      <c r="K257" s="428"/>
      <c r="L257" s="521">
        <f ca="1">IFERROR(__xludf.DUMMYFUNCTION("IMPORTRANGE(""https://docs.google.com/spreadsheets/d/1eHaY18a8A9IcSdp1K8H6x8fbOy06t2VsZHhMHf-1x7Y/edit?usp=sharing"",""แผน!BD44"")"),0)</f>
        <v>0</v>
      </c>
      <c r="M257" s="428"/>
      <c r="N257" s="672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34" t="s">
        <v>101</v>
      </c>
      <c r="E258" s="418"/>
      <c r="F258" s="418"/>
      <c r="G258" s="422"/>
      <c r="H258" s="536" t="s">
        <v>12</v>
      </c>
      <c r="I258" s="427"/>
      <c r="J258" s="427"/>
      <c r="K258" s="428"/>
      <c r="L258" s="521">
        <f ca="1">IFERROR(__xludf.DUMMYFUNCTION("IMPORTRANGE(""https://docs.google.com/spreadsheets/d/1eHaY18a8A9IcSdp1K8H6x8fbOy06t2VsZHhMHf-1x7Y/edit?usp=sharing"",""แผน!BE44"")"),0)</f>
        <v>0</v>
      </c>
      <c r="M258" s="428"/>
      <c r="N258" s="672">
        <v>0</v>
      </c>
      <c r="O258" s="428"/>
      <c r="P258" s="428"/>
    </row>
    <row r="259" spans="1:16" ht="19.5" hidden="1" x14ac:dyDescent="0.3">
      <c r="A259" s="532"/>
      <c r="B259" s="430"/>
      <c r="C259" s="671" t="s">
        <v>16</v>
      </c>
      <c r="D259" s="530" t="s">
        <v>36</v>
      </c>
      <c r="E259" s="529"/>
      <c r="F259" s="529"/>
      <c r="G259" s="528"/>
      <c r="H259" s="527"/>
      <c r="I259" s="526"/>
      <c r="J259" s="427"/>
      <c r="K259" s="428"/>
      <c r="L259" s="428"/>
      <c r="M259" s="428"/>
      <c r="N259" s="428"/>
      <c r="O259" s="525"/>
      <c r="P259" s="525"/>
    </row>
    <row r="260" spans="1:16" ht="18.75" hidden="1" x14ac:dyDescent="0.25">
      <c r="A260" s="532"/>
      <c r="B260" s="430"/>
      <c r="C260" s="430"/>
      <c r="D260" s="524" t="s">
        <v>102</v>
      </c>
      <c r="E260" s="420"/>
      <c r="F260" s="420"/>
      <c r="G260" s="527"/>
      <c r="H260" s="668" t="s">
        <v>33</v>
      </c>
      <c r="I260" s="199">
        <f ca="1">IFERROR(__xludf.DUMMYFUNCTION("IMPORTRANGE(""https://docs.google.com/spreadsheets/d/1eHaY18a8A9IcSdp1K8H6x8fbOy06t2VsZHhMHf-1x7Y/edit?usp=sharing"",""แผน!BH44"")"),0)</f>
        <v>0</v>
      </c>
      <c r="J260" s="522">
        <v>0</v>
      </c>
      <c r="K260" s="521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2"/>
      <c r="B261" s="430"/>
      <c r="C261" s="430"/>
      <c r="D261" s="670" t="s">
        <v>41</v>
      </c>
      <c r="E261" s="420"/>
      <c r="F261" s="420"/>
      <c r="G261" s="527"/>
      <c r="H261" s="527"/>
      <c r="I261" s="427"/>
      <c r="J261" s="427"/>
      <c r="K261" s="428"/>
      <c r="L261" s="428"/>
      <c r="M261" s="428"/>
      <c r="N261" s="428"/>
      <c r="O261" s="525"/>
      <c r="P261" s="525"/>
    </row>
    <row r="262" spans="1:16" ht="18.75" hidden="1" x14ac:dyDescent="0.25">
      <c r="A262" s="532"/>
      <c r="B262" s="430"/>
      <c r="C262" s="430"/>
      <c r="D262" s="430"/>
      <c r="E262" s="669" t="s">
        <v>103</v>
      </c>
      <c r="F262" s="420"/>
      <c r="G262" s="527"/>
      <c r="H262" s="668" t="s">
        <v>33</v>
      </c>
      <c r="I262" s="427"/>
      <c r="J262" s="522">
        <v>0</v>
      </c>
      <c r="K262" s="521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2"/>
      <c r="B263" s="430"/>
      <c r="C263" s="430"/>
      <c r="D263" s="430"/>
      <c r="E263" s="669" t="s">
        <v>104</v>
      </c>
      <c r="F263" s="420"/>
      <c r="G263" s="527"/>
      <c r="H263" s="668" t="s">
        <v>54</v>
      </c>
      <c r="I263" s="427"/>
      <c r="J263" s="522">
        <v>0</v>
      </c>
      <c r="K263" s="521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IFERROR(__xludf.DUMMYFUNCTION("IMPORTRANGE(""https://docs.google.com/spreadsheets/d/1-uDff_7J0KD5mKrp0Vvzr7lt3OU09vwQwhkpOPPYv2Y/edit?usp=sharing"",""งบพรบ!DE44"")"),0)</f>
        <v>0</v>
      </c>
      <c r="M271" s="521">
        <f ca="1">IFERROR(__xludf.DUMMYFUNCTION("IMPORTRANGE(""https://docs.google.com/spreadsheets/d/1-uDff_7J0KD5mKrp0Vvzr7lt3OU09vwQwhkpOPPYv2Y/edit?usp=sharing"",""งบพรบ!DJ44"")"),0)</f>
        <v>0</v>
      </c>
      <c r="N271" s="521">
        <f ca="1">IFERROR(__xludf.DUMMYFUNCTION("IMPORTRANGE(""https://docs.google.com/spreadsheets/d/1-uDff_7J0KD5mKrp0Vvzr7lt3OU09vwQwhkpOPPYv2Y/edit?usp=sharing"",""งบพรบ!DL44"")"),0)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IFERROR(__xludf.DUMMYFUNCTION("IMPORTRANGE(""https://docs.google.com/spreadsheets/d/1-uDff_7J0KD5mKrp0Vvzr7lt3OU09vwQwhkpOPPYv2Y/edit?usp=sharing"",""งบพรบ!DH44"")"),0)</f>
        <v>0</v>
      </c>
      <c r="M274" s="521">
        <f ca="1">IFERROR(__xludf.DUMMYFUNCTION("IMPORTRANGE(""https://docs.google.com/spreadsheets/d/1-uDff_7J0KD5mKrp0Vvzr7lt3OU09vwQwhkpOPPYv2Y/edit?usp=sharing"",""งบพรบ!DK44"")"),0)</f>
        <v>0</v>
      </c>
      <c r="N274" s="521">
        <f ca="1">IFERROR(__xludf.DUMMYFUNCTION("IMPORTRANGE(""https://docs.google.com/spreadsheets/d/1-uDff_7J0KD5mKrp0Vvzr7lt3OU09vwQwhkpOPPYv2Y/edit?usp=sharing"",""งบพรบ!DM44"")"),0)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hidden="1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hidden="1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hidden="1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0</v>
      </c>
      <c r="J280" s="629">
        <f>J293</f>
        <v>0</v>
      </c>
      <c r="K280" s="628">
        <f ca="1">IF(I280&gt;0,J280*100/I280,0)</f>
        <v>0</v>
      </c>
      <c r="L280" s="627"/>
      <c r="M280" s="627"/>
      <c r="N280" s="627"/>
      <c r="O280" s="627"/>
      <c r="P280" s="627"/>
    </row>
    <row r="281" spans="1:16" ht="19.5" hidden="1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0</v>
      </c>
      <c r="J281" s="629">
        <f>J292</f>
        <v>0</v>
      </c>
      <c r="K281" s="628">
        <f ca="1">IF(I281&gt;0,J281*100/I281,0)</f>
        <v>0</v>
      </c>
      <c r="L281" s="627"/>
      <c r="M281" s="627"/>
      <c r="N281" s="627"/>
      <c r="O281" s="627"/>
      <c r="P281" s="627"/>
    </row>
    <row r="282" spans="1:16" ht="19.5" hidden="1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0</v>
      </c>
      <c r="M282" s="577">
        <f ca="1">M283+M284</f>
        <v>0</v>
      </c>
      <c r="N282" s="577">
        <f ca="1">N283+N284</f>
        <v>0</v>
      </c>
      <c r="O282" s="577">
        <f ca="1">IF(L282&gt;0,N282*100/L282,0)</f>
        <v>0</v>
      </c>
      <c r="P282" s="577">
        <f ca="1">IF(M282&gt;0,N282*100/M282,0)</f>
        <v>0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hidden="1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0</v>
      </c>
      <c r="M284" s="425">
        <f ca="1">M287+M290</f>
        <v>0</v>
      </c>
      <c r="N284" s="425">
        <f ca="1">N287+N290</f>
        <v>0</v>
      </c>
      <c r="O284" s="425">
        <f ca="1">IF(L284&gt;0,N284*100/L284,0)</f>
        <v>0</v>
      </c>
      <c r="P284" s="425">
        <f ca="1">IF(M284&gt;0,N284*100/M284,0)</f>
        <v>0</v>
      </c>
    </row>
    <row r="285" spans="1:16" ht="18.75" hidden="1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0</v>
      </c>
      <c r="M285" s="425">
        <f ca="1">M286+M287</f>
        <v>0</v>
      </c>
      <c r="N285" s="425">
        <f ca="1">N286+N287</f>
        <v>0</v>
      </c>
      <c r="O285" s="425">
        <f ca="1">IF(L285&gt;0,N285*100/L285,0)</f>
        <v>0</v>
      </c>
      <c r="P285" s="425">
        <f ca="1">IF(M285&gt;0,N285*100/M285,0)</f>
        <v>0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hidden="1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IFERROR(__xludf.DUMMYFUNCTION("IMPORTRANGE(""https://docs.google.com/spreadsheets/d/1-uDff_7J0KD5mKrp0Vvzr7lt3OU09vwQwhkpOPPYv2Y/edit?usp=sharing"",""งบพรบ!DO44"")"),0)</f>
        <v>0</v>
      </c>
      <c r="M287" s="425">
        <f ca="1">IFERROR(__xludf.DUMMYFUNCTION("IMPORTRANGE(""https://docs.google.com/spreadsheets/d/1-uDff_7J0KD5mKrp0Vvzr7lt3OU09vwQwhkpOPPYv2Y/edit?usp=sharing"",""งบพรบ!DT44"")"),0)</f>
        <v>0</v>
      </c>
      <c r="N287" s="425">
        <f ca="1">IFERROR(__xludf.DUMMYFUNCTION("IMPORTRANGE(""https://docs.google.com/spreadsheets/d/1-uDff_7J0KD5mKrp0Vvzr7lt3OU09vwQwhkpOPPYv2Y/edit?usp=sharing"",""งบพรบ!DV44"")"),0)</f>
        <v>0</v>
      </c>
      <c r="O287" s="425">
        <f ca="1">IF(L287&gt;0,N287*100/L287,0)</f>
        <v>0</v>
      </c>
      <c r="P287" s="425">
        <f ca="1">IF(M287&gt;0,N287*100/M287,0)</f>
        <v>0</v>
      </c>
    </row>
    <row r="288" spans="1:16" ht="18.75" hidden="1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hidden="1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IFERROR(__xludf.DUMMYFUNCTION("IMPORTRANGE(""https://docs.google.com/spreadsheets/d/1-uDff_7J0KD5mKrp0Vvzr7lt3OU09vwQwhkpOPPYv2Y/edit?usp=sharing"",""งบพรบ!DR44"")"),0)</f>
        <v>0</v>
      </c>
      <c r="M290" s="425">
        <f ca="1">IFERROR(__xludf.DUMMYFUNCTION("IMPORTRANGE(""https://docs.google.com/spreadsheets/d/1-uDff_7J0KD5mKrp0Vvzr7lt3OU09vwQwhkpOPPYv2Y/edit?usp=sharing"",""งบพรบ!DU44"")"),0)</f>
        <v>0</v>
      </c>
      <c r="N290" s="425">
        <f ca="1">IFERROR(__xludf.DUMMYFUNCTION("IMPORTRANGE(""https://docs.google.com/spreadsheets/d/1-uDff_7J0KD5mKrp0Vvzr7lt3OU09vwQwhkpOPPYv2Y/edit?usp=sharing"",""งบพรบ!DW44"")"),0)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hidden="1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hidden="1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IFERROR(__xludf.DUMMYFUNCTION("IMPORTRANGE(""https://docs.google.com/spreadsheets/d/1eHaY18a8A9IcSdp1K8H6x8fbOy06t2VsZHhMHf-1x7Y/edit?usp=sharing"",""แผน!EE44"")"),0)</f>
        <v>0</v>
      </c>
      <c r="J292" s="595">
        <v>0</v>
      </c>
      <c r="K292" s="621">
        <f ca="1">IF(I292&gt;0,J292*100/I292,0)</f>
        <v>0</v>
      </c>
      <c r="L292" s="525"/>
      <c r="M292" s="525"/>
      <c r="N292" s="525"/>
      <c r="O292" s="525"/>
      <c r="P292" s="525"/>
    </row>
    <row r="293" spans="1:16" ht="19.5" hidden="1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IFERROR(__xludf.DUMMYFUNCTION("IMPORTRANGE(""https://docs.google.com/spreadsheets/d/1eHaY18a8A9IcSdp1K8H6x8fbOy06t2VsZHhMHf-1x7Y/edit?usp=sharing"",""แผน!ED44"")"),0)</f>
        <v>0</v>
      </c>
      <c r="J293" s="625">
        <f>J296</f>
        <v>0</v>
      </c>
      <c r="K293" s="624">
        <f ca="1">IF(I293&gt;0,J293*100/I293,0)</f>
        <v>0</v>
      </c>
      <c r="L293" s="525"/>
      <c r="M293" s="525"/>
      <c r="N293" s="525"/>
      <c r="O293" s="525"/>
      <c r="P293" s="525"/>
    </row>
    <row r="294" spans="1:16" ht="19.5" hidden="1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hidden="1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IFERROR(__xludf.DUMMYFUNCTION("IMPORTRANGE(""https://docs.google.com/spreadsheets/d/1eHaY18a8A9IcSdp1K8H6x8fbOy06t2VsZHhMHf-1x7Y/edit?usp=sharing"",""แผน!ED44"")"),0)</f>
        <v>0</v>
      </c>
      <c r="J295" s="595">
        <v>0</v>
      </c>
      <c r="K295" s="621">
        <f ca="1">IF(I295&gt;0,J295*100/I295,0)</f>
        <v>0</v>
      </c>
      <c r="L295" s="525"/>
      <c r="M295" s="525"/>
      <c r="N295" s="525"/>
      <c r="O295" s="525"/>
      <c r="P295" s="525"/>
    </row>
    <row r="296" spans="1:16" ht="19.5" hidden="1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IFERROR(__xludf.DUMMYFUNCTION("IMPORTRANGE(""https://docs.google.com/spreadsheets/d/1eHaY18a8A9IcSdp1K8H6x8fbOy06t2VsZHhMHf-1x7Y/edit?usp=sharing"",""แผน!ED44"")"),0)</f>
        <v>0</v>
      </c>
      <c r="J296" s="595">
        <v>0</v>
      </c>
      <c r="K296" s="621">
        <f ca="1">IF(I296&gt;0,J296*100/I296,0)</f>
        <v>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hidden="1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hidden="1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hidden="1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0</v>
      </c>
      <c r="J302" s="598">
        <f>J314</f>
        <v>0</v>
      </c>
      <c r="K302" s="597">
        <f ca="1">IF(I302&gt;0,J302*100/I302,0)</f>
        <v>0</v>
      </c>
      <c r="L302" s="580"/>
      <c r="M302" s="580"/>
      <c r="N302" s="580"/>
      <c r="O302" s="580"/>
      <c r="P302" s="580"/>
    </row>
    <row r="303" spans="1:16" ht="19.5" hidden="1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0</v>
      </c>
      <c r="M303" s="577">
        <f ca="1">M304+M305</f>
        <v>0</v>
      </c>
      <c r="N303" s="577">
        <f ca="1">N304+N305</f>
        <v>0</v>
      </c>
      <c r="O303" s="577">
        <f ca="1">IF(L303&gt;0,N303*100/L303,0)</f>
        <v>0</v>
      </c>
      <c r="P303" s="577">
        <f ca="1">IF(M303&gt;0,N303*100/M303,0)</f>
        <v>0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hidden="1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0</v>
      </c>
      <c r="M305" s="425">
        <f ca="1">M308+M311</f>
        <v>0</v>
      </c>
      <c r="N305" s="425">
        <f ca="1">N308+N311</f>
        <v>0</v>
      </c>
      <c r="O305" s="425">
        <f ca="1">IF(L305&gt;0,N305*100/L305,0)</f>
        <v>0</v>
      </c>
      <c r="P305" s="425">
        <f ca="1">IF(M305&gt;0,N305*100/M305,0)</f>
        <v>0</v>
      </c>
    </row>
    <row r="306" spans="1:16" ht="18.75" hidden="1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0</v>
      </c>
      <c r="M306" s="425">
        <f ca="1">M307+M308</f>
        <v>0</v>
      </c>
      <c r="N306" s="425">
        <f ca="1">N307+N308</f>
        <v>0</v>
      </c>
      <c r="O306" s="425">
        <f ca="1">IF(L306&gt;0,N306*100/L306,0)</f>
        <v>0</v>
      </c>
      <c r="P306" s="425">
        <f ca="1">IF(M306&gt;0,N306*100/M306,0)</f>
        <v>0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hidden="1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IFERROR(__xludf.DUMMYFUNCTION("IMPORTRANGE(""https://docs.google.com/spreadsheets/d/1-uDff_7J0KD5mKrp0Vvzr7lt3OU09vwQwhkpOPPYv2Y/edit?usp=sharing"",""งบพรบ!DY44"")"),0)</f>
        <v>0</v>
      </c>
      <c r="M308" s="425">
        <f ca="1">IFERROR(__xludf.DUMMYFUNCTION("IMPORTRANGE(""https://docs.google.com/spreadsheets/d/1-uDff_7J0KD5mKrp0Vvzr7lt3OU09vwQwhkpOPPYv2Y/edit?usp=sharing"",""งบพรบ!ED44"")"),0)</f>
        <v>0</v>
      </c>
      <c r="N308" s="425">
        <f ca="1">IFERROR(__xludf.DUMMYFUNCTION("IMPORTRANGE(""https://docs.google.com/spreadsheets/d/1-uDff_7J0KD5mKrp0Vvzr7lt3OU09vwQwhkpOPPYv2Y/edit?usp=sharing"",""งบพรบ!EF44"")"),0)</f>
        <v>0</v>
      </c>
      <c r="O308" s="425">
        <f ca="1">IF(L308&gt;0,N308*100/L308,0)</f>
        <v>0</v>
      </c>
      <c r="P308" s="425">
        <f ca="1">IF(M308&gt;0,N308*100/M308,0)</f>
        <v>0</v>
      </c>
    </row>
    <row r="309" spans="1:16" ht="18.75" hidden="1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hidden="1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IFERROR(__xludf.DUMMYFUNCTION("IMPORTRANGE(""https://docs.google.com/spreadsheets/d/1-uDff_7J0KD5mKrp0Vvzr7lt3OU09vwQwhkpOPPYv2Y/edit?usp=sharing"",""งบพรบ!EB44"")"),0)</f>
        <v>0</v>
      </c>
      <c r="M311" s="425">
        <f ca="1">IFERROR(__xludf.DUMMYFUNCTION("IMPORTRANGE(""https://docs.google.com/spreadsheets/d/1-uDff_7J0KD5mKrp0Vvzr7lt3OU09vwQwhkpOPPYv2Y/edit?usp=sharing"",""งบพรบ!EE44"")"),0)</f>
        <v>0</v>
      </c>
      <c r="N311" s="425">
        <f ca="1">IFERROR(__xludf.DUMMYFUNCTION("IMPORTRANGE(""https://docs.google.com/spreadsheets/d/1-uDff_7J0KD5mKrp0Vvzr7lt3OU09vwQwhkpOPPYv2Y/edit?usp=sharing"",""งบพรบ!EG44"")"),0)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hidden="1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hidden="1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0</v>
      </c>
      <c r="K313" s="428"/>
      <c r="L313" s="428"/>
      <c r="M313" s="428"/>
      <c r="N313" s="428"/>
      <c r="O313" s="428"/>
      <c r="P313" s="428"/>
    </row>
    <row r="314" spans="1:16" ht="18.75" hidden="1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IFERROR(__xludf.DUMMYFUNCTION("IMPORTRANGE(""https://docs.google.com/spreadsheets/d/1eHaY18a8A9IcSdp1K8H6x8fbOy06t2VsZHhMHf-1x7Y/edit?usp=sharing"",""แผน!EF44"")"),0)</f>
        <v>0</v>
      </c>
      <c r="J314" s="595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hidden="1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IFERROR(__xludf.DUMMYFUNCTION("IMPORTRANGE(""https://docs.google.com/spreadsheets/d/1eHaY18a8A9IcSdp1K8H6x8fbOy06t2VsZHhMHf-1x7Y/edit?usp=sharing"",""แผน!EG44"")"),0)</f>
        <v>0</v>
      </c>
      <c r="J315" s="595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hidden="1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IFERROR(__xludf.DUMMYFUNCTION("IMPORTRANGE(""https://docs.google.com/spreadsheets/d/1eHaY18a8A9IcSdp1K8H6x8fbOy06t2VsZHhMHf-1x7Y/edit?usp=sharing"",""แผน!EH44"")"),0)</f>
        <v>0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199">
        <f ca="1">IFERROR(__xludf.DUMMYFUNCTION("IMPORTRANGE(""https://docs.google.com/spreadsheets/d/1eHaY18a8A9IcSdp1K8H6x8fbOy06t2VsZHhMHf-1x7Y/edit?usp=sharing"",""แผน!EI44"")"),0)</f>
        <v>0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hidden="1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0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hidden="1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0</v>
      </c>
      <c r="M320" s="577">
        <f ca="1">M321+M322</f>
        <v>0</v>
      </c>
      <c r="N320" s="577">
        <f ca="1">N321+N322</f>
        <v>0</v>
      </c>
      <c r="O320" s="577">
        <f ca="1">IF(L320&gt;0,N320*100/L320,0)</f>
        <v>0</v>
      </c>
      <c r="P320" s="577">
        <f ca="1">IF(M320&gt;0,N320*100/M320,0)</f>
        <v>0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hidden="1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hidden="1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IFERROR(__xludf.DUMMYFUNCTION("IMPORTRANGE(""https://docs.google.com/spreadsheets/d/1-uDff_7J0KD5mKrp0Vvzr7lt3OU09vwQwhkpOPPYv2Y/edit?usp=sharing"",""งบพรบ!EI44"")"),0)</f>
        <v>0</v>
      </c>
      <c r="M325" s="425">
        <f ca="1">IFERROR(__xludf.DUMMYFUNCTION("IMPORTRANGE(""https://docs.google.com/spreadsheets/d/1-uDff_7J0KD5mKrp0Vvzr7lt3OU09vwQwhkpOPPYv2Y/edit?usp=sharing"",""งบพรบ!EN44"")"),0)</f>
        <v>0</v>
      </c>
      <c r="N325" s="425">
        <f ca="1">IFERROR(__xludf.DUMMYFUNCTION("IMPORTRANGE(""https://docs.google.com/spreadsheets/d/1-uDff_7J0KD5mKrp0Vvzr7lt3OU09vwQwhkpOPPYv2Y/edit?usp=sharing"",""งบพรบ!EP44"")"),0)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hidden="1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IFERROR(__xludf.DUMMYFUNCTION("IMPORTRANGE(""https://docs.google.com/spreadsheets/d/1-uDff_7J0KD5mKrp0Vvzr7lt3OU09vwQwhkpOPPYv2Y/edit?usp=sharing"",""งบพรบ!EL44"")"),0)</f>
        <v>0</v>
      </c>
      <c r="M328" s="425">
        <f ca="1">IFERROR(__xludf.DUMMYFUNCTION("IMPORTRANGE(""https://docs.google.com/spreadsheets/d/1-uDff_7J0KD5mKrp0Vvzr7lt3OU09vwQwhkpOPPYv2Y/edit?usp=sharing"",""งบพรบ!EO44"")"),0)</f>
        <v>0</v>
      </c>
      <c r="N328" s="425">
        <f ca="1">IFERROR(__xludf.DUMMYFUNCTION("IMPORTRANGE(""https://docs.google.com/spreadsheets/d/1-uDff_7J0KD5mKrp0Vvzr7lt3OU09vwQwhkpOPPYv2Y/edit?usp=sharing"",""งบพรบ!EQ44"")"),0)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hidden="1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IFERROR(__xludf.DUMMYFUNCTION("IMPORTRANGE(""https://docs.google.com/spreadsheets/d/1eHaY18a8A9IcSdp1K8H6x8fbOy06t2VsZHhMHf-1x7Y/edit?usp=sharing"",""แผน!EJ44"")"),0)</f>
        <v>0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4460</v>
      </c>
      <c r="J332" s="402">
        <f ca="1">J344+J347+J348+J349+J353</f>
        <v>1435</v>
      </c>
      <c r="K332" s="403">
        <f ca="1">IF(I332&gt;0,J332*100/I332,0)</f>
        <v>32.174887892376681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118000</v>
      </c>
      <c r="M333" s="577">
        <f ca="1">M334+M335</f>
        <v>92550</v>
      </c>
      <c r="N333" s="577">
        <f ca="1">N334+N335</f>
        <v>30300</v>
      </c>
      <c r="O333" s="577">
        <f ca="1">IF(L333&gt;0,N333*100/L333,0)</f>
        <v>25.677966101694917</v>
      </c>
      <c r="P333" s="577">
        <f ca="1">IF(M333&gt;0,N333*100/M333,0)</f>
        <v>32.739059967585092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118000</v>
      </c>
      <c r="M335" s="425">
        <f ca="1">M338+M341</f>
        <v>92550</v>
      </c>
      <c r="N335" s="425">
        <f ca="1">N338+N341</f>
        <v>30300</v>
      </c>
      <c r="O335" s="425">
        <f ca="1">IF(L335&gt;0,N335*100/L335,0)</f>
        <v>25.677966101694917</v>
      </c>
      <c r="P335" s="425">
        <f ca="1">IF(M335&gt;0,N335*100/M335,0)</f>
        <v>32.739059967585092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118000</v>
      </c>
      <c r="M336" s="425">
        <f ca="1">M337+M338</f>
        <v>92550</v>
      </c>
      <c r="N336" s="425">
        <f ca="1">N337+N338</f>
        <v>30300</v>
      </c>
      <c r="O336" s="425">
        <f ca="1">IF(L336&gt;0,N336*100/L336,0)</f>
        <v>25.677966101694917</v>
      </c>
      <c r="P336" s="425">
        <f ca="1">IF(M336&gt;0,N336*100/M336,0)</f>
        <v>32.739059967585092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IFERROR(__xludf.DUMMYFUNCTION("IMPORTRANGE(""https://docs.google.com/spreadsheets/d/1-uDff_7J0KD5mKrp0Vvzr7lt3OU09vwQwhkpOPPYv2Y/edit?usp=sharing"",""งบพรบ!ES44"")"),118000)</f>
        <v>118000</v>
      </c>
      <c r="M338" s="425">
        <f ca="1">IFERROR(__xludf.DUMMYFUNCTION("IMPORTRANGE(""https://docs.google.com/spreadsheets/d/1-uDff_7J0KD5mKrp0Vvzr7lt3OU09vwQwhkpOPPYv2Y/edit?usp=sharing"",""งบพรบ!EX44"")"),92550)</f>
        <v>92550</v>
      </c>
      <c r="N338" s="425">
        <f ca="1">IFERROR(__xludf.DUMMYFUNCTION("IMPORTRANGE(""https://docs.google.com/spreadsheets/d/1-uDff_7J0KD5mKrp0Vvzr7lt3OU09vwQwhkpOPPYv2Y/edit?usp=sharing"",""งบพรบ!EZ44"")"),30300)</f>
        <v>30300</v>
      </c>
      <c r="O338" s="425">
        <f ca="1">IF(L338&gt;0,N338*100/L338,0)</f>
        <v>25.677966101694917</v>
      </c>
      <c r="P338" s="425">
        <f ca="1">IF(M338&gt;0,N338*100/M338,0)</f>
        <v>32.739059967585092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IFERROR(__xludf.DUMMYFUNCTION("IMPORTRANGE(""https://docs.google.com/spreadsheets/d/1-uDff_7J0KD5mKrp0Vvzr7lt3OU09vwQwhkpOPPYv2Y/edit?usp=sharing"",""งบพรบ!EV44"")"),0)</f>
        <v>0</v>
      </c>
      <c r="M341" s="425">
        <f ca="1">IFERROR(__xludf.DUMMYFUNCTION("IMPORTRANGE(""https://docs.google.com/spreadsheets/d/1-uDff_7J0KD5mKrp0Vvzr7lt3OU09vwQwhkpOPPYv2Y/edit?usp=sharing"",""งบพรบ!EY44"")"),0)</f>
        <v>0</v>
      </c>
      <c r="N341" s="425">
        <f ca="1">IFERROR(__xludf.DUMMYFUNCTION("IMPORTRANGE(""https://docs.google.com/spreadsheets/d/1-uDff_7J0KD5mKrp0Vvzr7lt3OU09vwQwhkpOPPYv2Y/edit?usp=sharing"",""งบพรบ!FA44"")"),0)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143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IFERROR(__xludf.DUMMYFUNCTION("IMPORTRANGE(""https://docs.google.com/spreadsheets/d/1eHaY18a8A9IcSdp1K8H6x8fbOy06t2VsZHhMHf-1x7Y/edit?usp=sharing"",""แผน!EK44"")"),4460)</f>
        <v>4460</v>
      </c>
      <c r="J344" s="424">
        <f ca="1">IFERROR(__xludf.DUMMYFUNCTION("IMPORTRANGE(""https://docs.google.com/spreadsheets/d/1awYsYK3VOup2i3Pq_Yjnu8DRu_mYwSBnCR2QPthd0rU/edit?usp=sharing"",""ศูนย์ยกเว้นโฉนด!D44"")"),39)</f>
        <v>39</v>
      </c>
      <c r="K344" s="425">
        <f ca="1">IF(I344&gt;0,J344*100/I344,0)</f>
        <v>0.87443946188340804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IFERROR(__xludf.DUMMYFUNCTION("IMPORTRANGE(""https://docs.google.com/spreadsheets/d/1eHaY18a8A9IcSdp1K8H6x8fbOy06t2VsZHhMHf-1x7Y/edit?usp=sharing"",""แผน!EL44"")"),6)</f>
        <v>6</v>
      </c>
      <c r="J346" s="424">
        <f ca="1">IFERROR(__xludf.DUMMYFUNCTION("IMPORTRANGE(""https://docs.google.com/spreadsheets/d/1awYsYK3VOup2i3Pq_Yjnu8DRu_mYwSBnCR2QPthd0rU/edit?usp=sharing"",""ศูนย์รวม!E44"")"),0)</f>
        <v>0</v>
      </c>
      <c r="K346" s="425">
        <f ca="1">IF(I346&gt;0,J346*100/I346,0)</f>
        <v>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IFERROR(__xludf.DUMMYFUNCTION("IMPORTRANGE(""https://docs.google.com/spreadsheets/d/1awYsYK3VOup2i3Pq_Yjnu8DRu_mYwSBnCR2QPthd0rU/edit?usp=sharing"",""ศูนย์ยกเว้นโฉนด!F44"")"),0)</f>
        <v>0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IFERROR(__xludf.DUMMYFUNCTION("IMPORTRANGE(""https://docs.google.com/spreadsheets/d/1awYsYK3VOup2i3Pq_Yjnu8DRu_mYwSBnCR2QPthd0rU/edit?usp=sharing"",""ศูนย์ยกเว้นโฉนด!G44"")"),1)</f>
        <v>1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IFERROR(__xludf.DUMMYFUNCTION("IMPORTRANGE(""https://docs.google.com/spreadsheets/d/1awYsYK3VOup2i3Pq_Yjnu8DRu_mYwSBnCR2QPthd0rU/edit?usp=sharing"",""ศูนย์ยกเว้นโฉนด!H44"")"),103)</f>
        <v>103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2385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IFERROR(__xludf.DUMMYFUNCTION("IMPORTRANGE(""https://docs.google.com/spreadsheets/d/1awYsYK3VOup2i3Pq_Yjnu8DRu_mYwSBnCR2QPthd0rU/edit?usp=sharing"",""โฉนดM3!G44"")"),1093)</f>
        <v>1093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IFERROR(__xludf.DUMMYFUNCTION("IMPORTRANGE(""https://docs.google.com/spreadsheets/d/1awYsYK3VOup2i3Pq_Yjnu8DRu_mYwSBnCR2QPthd0rU/edit?usp=sharing"",""โฉนดM3!H44"")"),1292)</f>
        <v>1292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1411545</v>
      </c>
      <c r="M356" s="577">
        <f ca="1">M357+M358</f>
        <v>1221345</v>
      </c>
      <c r="N356" s="577">
        <f ca="1">N357+N358</f>
        <v>280238.94</v>
      </c>
      <c r="O356" s="577">
        <f ca="1">IF(L356&gt;0,N356*100/L356,0)</f>
        <v>19.85334792727118</v>
      </c>
      <c r="P356" s="577">
        <f ca="1">IF(M356&gt;0,N356*100/M356,0)</f>
        <v>22.945108875870453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1411545</v>
      </c>
      <c r="M358" s="425">
        <f ca="1">M361+M364</f>
        <v>1221345</v>
      </c>
      <c r="N358" s="425">
        <f ca="1">N361+N364</f>
        <v>280238.94</v>
      </c>
      <c r="O358" s="425">
        <f ca="1">IF(L358&gt;0,N358*100/L358,0)</f>
        <v>19.85334792727118</v>
      </c>
      <c r="P358" s="425">
        <f ca="1">IF(M358&gt;0,N358*100/M358,0)</f>
        <v>22.945108875870453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1411545</v>
      </c>
      <c r="M359" s="425">
        <f ca="1">M360+M361</f>
        <v>1221345</v>
      </c>
      <c r="N359" s="425">
        <f ca="1">N360+N361</f>
        <v>280238.94</v>
      </c>
      <c r="O359" s="425">
        <f ca="1">IF(L359&gt;0,N359*100/L359,0)</f>
        <v>19.85334792727118</v>
      </c>
      <c r="P359" s="425">
        <f ca="1">IF(M359&gt;0,N359*100/M359,0)</f>
        <v>22.945108875870453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IFERROR(__xludf.DUMMYFUNCTION("IMPORTRANGE(""https://docs.google.com/spreadsheets/d/1-uDff_7J0KD5mKrp0Vvzr7lt3OU09vwQwhkpOPPYv2Y/edit?usp=sharing"",""งบพรบ!FC44"")"),1411545)</f>
        <v>1411545</v>
      </c>
      <c r="M361" s="425">
        <f ca="1">IFERROR(__xludf.DUMMYFUNCTION("IMPORTRANGE(""https://docs.google.com/spreadsheets/d/1-uDff_7J0KD5mKrp0Vvzr7lt3OU09vwQwhkpOPPYv2Y/edit?usp=sharing"",""งบพรบ!FH44"")"),1221345)</f>
        <v>1221345</v>
      </c>
      <c r="N361" s="425">
        <f ca="1">IFERROR(__xludf.DUMMYFUNCTION("IMPORTRANGE(""https://docs.google.com/spreadsheets/d/1-uDff_7J0KD5mKrp0Vvzr7lt3OU09vwQwhkpOPPYv2Y/edit?usp=sharing"",""งบพรบ!FJ44"")"),280238.94)</f>
        <v>280238.94</v>
      </c>
      <c r="O361" s="425">
        <f ca="1">IF(L361&gt;0,N361*100/L361,0)</f>
        <v>19.85334792727118</v>
      </c>
      <c r="P361" s="425">
        <f ca="1">IF(M361&gt;0,N361*100/M361,0)</f>
        <v>22.945108875870453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IFERROR(__xludf.DUMMYFUNCTION("IMPORTRANGE(""https://docs.google.com/spreadsheets/d/1-uDff_7J0KD5mKrp0Vvzr7lt3OU09vwQwhkpOPPYv2Y/edit?usp=sharing"",""งบพรบ!FF44"")"),0)</f>
        <v>0</v>
      </c>
      <c r="M364" s="425">
        <f ca="1">IFERROR(__xludf.DUMMYFUNCTION("IMPORTRANGE(""https://docs.google.com/spreadsheets/d/1-uDff_7J0KD5mKrp0Vvzr7lt3OU09vwQwhkpOPPYv2Y/edit?usp=sharing"",""งบพรบ!FI44"")"),0)</f>
        <v>0</v>
      </c>
      <c r="N364" s="425">
        <f ca="1">IFERROR(__xludf.DUMMYFUNCTION("IMPORTRANGE(""https://docs.google.com/spreadsheets/d/1-uDff_7J0KD5mKrp0Vvzr7lt3OU09vwQwhkpOPPYv2Y/edit?usp=sharing"",""งบพรบ!FK44"")"),0)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845</v>
      </c>
      <c r="J365" s="438">
        <f ca="1">J371</f>
        <v>89</v>
      </c>
      <c r="K365" s="439">
        <f ca="1">IF(I365&gt;0,J365*100/I365,0)</f>
        <v>10.532544378698224</v>
      </c>
      <c r="L365" s="571"/>
      <c r="M365" s="571"/>
      <c r="N365" s="571"/>
      <c r="O365" s="571"/>
      <c r="P365" s="571"/>
    </row>
    <row r="366" spans="1:16" ht="19.5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IFERROR(__xludf.DUMMYFUNCTION("IMPORTRANGE(""https://docs.google.com/spreadsheets/d/1tdoBKaGub7dwA3U6UFTqxio9LNnvDCQjHKmttSEBsFQ/edit?usp=sharing"",""จัดที่ดิน!AB44"")"),98)</f>
        <v>98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IFERROR(__xludf.DUMMYFUNCTION("IMPORTRANGE(""https://docs.google.com/spreadsheets/d/1eHaY18a8A9IcSdp1K8H6x8fbOy06t2VsZHhMHf-1x7Y/edit?usp=sharing"",""แผน!EW44"")"),6865)</f>
        <v>6865</v>
      </c>
      <c r="J368" s="565">
        <f ca="1">IFERROR(__xludf.DUMMYFUNCTION("IMPORTRANGE(""https://docs.google.com/spreadsheets/d/1tdoBKaGub7dwA3U6UFTqxio9LNnvDCQjHKmttSEBsFQ/edit?usp=sharing"",""จัดที่ดิน!AC44"")"),608.99)</f>
        <v>608.99</v>
      </c>
      <c r="K368" s="425">
        <f ca="1">IF(I368&gt;0,J368*100/I368,0)</f>
        <v>8.8709395484340856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IFERROR(__xludf.DUMMYFUNCTION("IMPORTRANGE(""https://docs.google.com/spreadsheets/d/1eHaY18a8A9IcSdp1K8H6x8fbOy06t2VsZHhMHf-1x7Y/edit?usp=sharing"",""แผน!EX44"")"),1283)</f>
        <v>1283</v>
      </c>
      <c r="J369" s="424">
        <f ca="1">IFERROR(__xludf.DUMMYFUNCTION("IMPORTRANGE(""https://docs.google.com/spreadsheets/d/1tdoBKaGub7dwA3U6UFTqxio9LNnvDCQjHKmttSEBsFQ/edit?usp=sharing"",""จัดที่ดิน!AD44"")"),169)</f>
        <v>169</v>
      </c>
      <c r="K369" s="425">
        <f ca="1">IF(I369&gt;0,J369*100/I369,0)</f>
        <v>13.172252533125487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IFERROR(__xludf.DUMMYFUNCTION("IMPORTRANGE(""https://docs.google.com/spreadsheets/d/1tdoBKaGub7dwA3U6UFTqxio9LNnvDCQjHKmttSEBsFQ/edit?usp=sharing"",""จัดที่ดิน!AE44"")"),1313.58)</f>
        <v>1313.58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IFERROR(__xludf.DUMMYFUNCTION("IMPORTRANGE(""https://docs.google.com/spreadsheets/d/1eHaY18a8A9IcSdp1K8H6x8fbOy06t2VsZHhMHf-1x7Y/edit?usp=sharing"",""แผน!EY44"")"),845)</f>
        <v>845</v>
      </c>
      <c r="J371" s="424">
        <f ca="1">IFERROR(__xludf.DUMMYFUNCTION("IMPORTRANGE(""https://docs.google.com/spreadsheets/d/1tdoBKaGub7dwA3U6UFTqxio9LNnvDCQjHKmttSEBsFQ/edit?usp=sharing"",""จัดที่ดิน!AF44"")"),89)</f>
        <v>89</v>
      </c>
      <c r="K371" s="425">
        <f ca="1">IF(I371&gt;0,J371*100/I371,0)</f>
        <v>10.532544378698224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IFERROR(__xludf.DUMMYFUNCTION("IMPORTRANGE(""https://docs.google.com/spreadsheets/d/1tdoBKaGub7dwA3U6UFTqxio9LNnvDCQjHKmttSEBsFQ/edit?usp=sharing"",""จัดที่ดิน!AG44"")"),815.13)</f>
        <v>815.13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IFERROR(__xludf.DUMMYFUNCTION("IMPORTRANGE(""https://docs.google.com/spreadsheets/d/1-uDff_7J0KD5mKrp0Vvzr7lt3OU09vwQwhkpOPPYv2Y/edit?usp=sharing"",""งบพรบ!FM44"")"),0)</f>
        <v>0</v>
      </c>
      <c r="M382" s="521">
        <f ca="1">IFERROR(__xludf.DUMMYFUNCTION("IMPORTRANGE(""https://docs.google.com/spreadsheets/d/1-uDff_7J0KD5mKrp0Vvzr7lt3OU09vwQwhkpOPPYv2Y/edit?usp=sharing"",""งบพรบ!FR44"")"),0)</f>
        <v>0</v>
      </c>
      <c r="N382" s="521">
        <f ca="1">IFERROR(__xludf.DUMMYFUNCTION("IMPORTRANGE(""https://docs.google.com/spreadsheets/d/1-uDff_7J0KD5mKrp0Vvzr7lt3OU09vwQwhkpOPPYv2Y/edit?usp=sharing"",""งบพรบ!FT44"")"),0)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IFERROR(__xludf.DUMMYFUNCTION("IMPORTRANGE(""https://docs.google.com/spreadsheets/d/1-uDff_7J0KD5mKrp0Vvzr7lt3OU09vwQwhkpOPPYv2Y/edit?usp=sharing"",""งบพรบ!FP44"")"),0)</f>
        <v>0</v>
      </c>
      <c r="M385" s="521">
        <f ca="1">IFERROR(__xludf.DUMMYFUNCTION("IMPORTRANGE(""https://docs.google.com/spreadsheets/d/1-uDff_7J0KD5mKrp0Vvzr7lt3OU09vwQwhkpOPPYv2Y/edit?usp=sharing"",""งบพรบ!FS44"")"),0)</f>
        <v>0</v>
      </c>
      <c r="N385" s="521">
        <f ca="1">IFERROR(__xludf.DUMMYFUNCTION("IMPORTRANGE(""https://docs.google.com/spreadsheets/d/1-uDff_7J0KD5mKrp0Vvzr7lt3OU09vwQwhkpOPPYv2Y/edit?usp=sharing"",""งบพรบ!FU44"")"),0)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EB242-A258-40F4-B8DB-F0480DEDF2D5}">
  <sheetPr>
    <outlinePr summaryBelow="0" summaryRight="0"/>
    <pageSetUpPr fitToPage="1"/>
  </sheetPr>
  <dimension ref="A1:P391"/>
  <sheetViews>
    <sheetView view="pageBreakPreview" zoomScale="60" zoomScaleNormal="70" workbookViewId="0">
      <pane xSplit="8" ySplit="17" topLeftCell="I18" activePane="bottomRight" state="frozen"/>
      <selection activeCell="H27" sqref="H27"/>
      <selection pane="topRight" activeCell="H27" sqref="H27"/>
      <selection pane="bottomLeft" activeCell="H27" sqref="H27"/>
      <selection pane="bottomRight" activeCell="H27" sqref="H27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5.140625" customWidth="1"/>
    <col min="11" max="11" width="12.57031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869" t="s">
        <v>0</v>
      </c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  <c r="O1" s="869"/>
      <c r="P1" s="869"/>
    </row>
    <row r="2" spans="1:16" ht="19.5" x14ac:dyDescent="0.3">
      <c r="A2" s="869" t="s">
        <v>174</v>
      </c>
      <c r="B2" s="869"/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  <c r="P2" s="869"/>
    </row>
    <row r="3" spans="1:16" ht="19.5" x14ac:dyDescent="0.3">
      <c r="A3" s="869"/>
      <c r="B3" s="869"/>
      <c r="C3" s="869"/>
      <c r="D3" s="869"/>
      <c r="E3" s="869"/>
      <c r="F3" s="869"/>
      <c r="G3" s="869"/>
      <c r="H3" s="869"/>
      <c r="I3" s="869"/>
      <c r="J3" s="869"/>
      <c r="K3" s="869"/>
      <c r="L3" s="869"/>
      <c r="M3" s="869"/>
      <c r="N3" s="869"/>
      <c r="O3" s="869"/>
      <c r="P3" s="869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5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493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2774020</v>
      </c>
      <c r="M18" s="704">
        <f ca="1">M19+M20</f>
        <v>2366480</v>
      </c>
      <c r="N18" s="704">
        <f ca="1">N19+N20</f>
        <v>1117662.31</v>
      </c>
      <c r="O18" s="704">
        <f ca="1">IF(L18&gt;0,N18*100/L18,0)</f>
        <v>40.290347942696883</v>
      </c>
      <c r="P18" s="704">
        <f ca="1">IF(M18&gt;0,N18*100/M18,0)</f>
        <v>47.22889312396471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2774020</v>
      </c>
      <c r="M20" s="817">
        <f ca="1">M23+M26</f>
        <v>2366480</v>
      </c>
      <c r="N20" s="817">
        <f ca="1">N23+N26</f>
        <v>1117662.31</v>
      </c>
      <c r="O20" s="817">
        <f ca="1">IF(L20&gt;0,N20*100/L20,0)</f>
        <v>40.290347942696883</v>
      </c>
      <c r="P20" s="817">
        <f ca="1">IF(M20&gt;0,N20*100/M20,0)</f>
        <v>47.22889312396471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2774020</v>
      </c>
      <c r="M21" s="425">
        <f ca="1">M22+M23</f>
        <v>2366480</v>
      </c>
      <c r="N21" s="425">
        <f ca="1">N22+N23</f>
        <v>1117662.31</v>
      </c>
      <c r="O21" s="425">
        <f ca="1">IF(L21&gt;0,N21*100/L21,0)</f>
        <v>40.290347942696883</v>
      </c>
      <c r="P21" s="425">
        <f ca="1">IF(M21&gt;0,N21*100/M21,0)</f>
        <v>47.22889312396471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2774020</v>
      </c>
      <c r="M23" s="425">
        <f ca="1">M49+M64+M77+M99+M130+M144+M162+M191+M178+M271+M287+M308+M325+M338+M361+M382</f>
        <v>2366480</v>
      </c>
      <c r="N23" s="425">
        <f ca="1">N49+N64+N77+N99+N130+N144+N162+N191+N178+N271+N287+N308+N325+N338+N361+N382</f>
        <v>1117662.31</v>
      </c>
      <c r="O23" s="425">
        <f ca="1">IF(L23&gt;0,N23*100/L23,0)</f>
        <v>40.290347942696883</v>
      </c>
      <c r="P23" s="425">
        <f ca="1">IF(M23&gt;0,N23*100/M23,0)</f>
        <v>47.22889312396471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2.75" hidden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2774020</v>
      </c>
      <c r="M40" s="809">
        <f ca="1">M44+M59+M72+M94+M125+M139+M157+M173+M186+M266+M282+M303+M320+M333+M356</f>
        <v>2366480</v>
      </c>
      <c r="N40" s="809">
        <f ca="1">N44+N59+N72+N94+N125+N139+N157+N173+N186+N266+N282+N303+N320+N333+N356</f>
        <v>1117662.31</v>
      </c>
      <c r="O40" s="809">
        <f ca="1">IF(L40&gt;0,N40*100/L40,0)</f>
        <v>40.290347942696883</v>
      </c>
      <c r="P40" s="809">
        <f ca="1">IF(M40&gt;0,N40*100/M40,0)</f>
        <v>47.22889312396471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541600</v>
      </c>
      <c r="M44" s="794">
        <f ca="1">M45+M46</f>
        <v>546100</v>
      </c>
      <c r="N44" s="794">
        <f ca="1">N45+N46</f>
        <v>231900</v>
      </c>
      <c r="O44" s="794">
        <f ca="1">IF(L44&gt;0,N44*100/L44,0)</f>
        <v>42.817577548005907</v>
      </c>
      <c r="P44" s="794">
        <f ca="1">IF(M44&gt;0,N44*100/M44,0)</f>
        <v>42.464750045779162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541600</v>
      </c>
      <c r="M46" s="783">
        <f ca="1">M49+M52</f>
        <v>546100</v>
      </c>
      <c r="N46" s="783">
        <f ca="1">N49+N52</f>
        <v>231900</v>
      </c>
      <c r="O46" s="783">
        <f ca="1">IF(L46&gt;0,N46*100/L46,0)</f>
        <v>42.817577548005907</v>
      </c>
      <c r="P46" s="783">
        <f ca="1">IF(M46&gt;0,N46*100/M46,0)</f>
        <v>42.464750045779162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541600</v>
      </c>
      <c r="M47" s="425">
        <f ca="1">M48+M49</f>
        <v>546100</v>
      </c>
      <c r="N47" s="425">
        <f ca="1">N48+N49</f>
        <v>231900</v>
      </c>
      <c r="O47" s="425">
        <f ca="1">IF(L47&gt;0,N47*100/L47,0)</f>
        <v>42.817577548005907</v>
      </c>
      <c r="P47" s="425">
        <f ca="1">IF(M47&gt;0,N47*100/M47,0)</f>
        <v>42.464750045779162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IFERROR(__xludf.DUMMYFUNCTION("IMPORTRANGE(""https://docs.google.com/spreadsheets/d/1-uDff_7J0KD5mKrp0Vvzr7lt3OU09vwQwhkpOPPYv2Y/edit?usp=sharing"",""งบพรบ!P45"")"),541600)</f>
        <v>541600</v>
      </c>
      <c r="M49" s="425">
        <f ca="1">IFERROR(__xludf.DUMMYFUNCTION("IMPORTRANGE(""https://docs.google.com/spreadsheets/d/1-uDff_7J0KD5mKrp0Vvzr7lt3OU09vwQwhkpOPPYv2Y/edit?usp=sharing"",""งบพรบ!V45"")"),546100)</f>
        <v>546100</v>
      </c>
      <c r="N49" s="425">
        <f ca="1">IFERROR(__xludf.DUMMYFUNCTION("IMPORTRANGE(""https://docs.google.com/spreadsheets/d/1-uDff_7J0KD5mKrp0Vvzr7lt3OU09vwQwhkpOPPYv2Y/edit?usp=sharing"",""งบพรบ!Y45"")"),231900)</f>
        <v>231900</v>
      </c>
      <c r="O49" s="425">
        <f ca="1">IF(L49&gt;0,N49*100/L49,0)</f>
        <v>42.817577548005907</v>
      </c>
      <c r="P49" s="425">
        <f ca="1">IF(M49&gt;0,N49*100/M49,0)</f>
        <v>42.464750045779162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IFERROR(__xludf.DUMMYFUNCTION("IMPORTRANGE(""https://docs.google.com/spreadsheets/d/1-uDff_7J0KD5mKrp0Vvzr7lt3OU09vwQwhkpOPPYv2Y/edit?usp=sharing"",""งบพรบ!S45"")"),0)</f>
        <v>0</v>
      </c>
      <c r="M52" s="425">
        <f ca="1">IFERROR(__xludf.DUMMYFUNCTION("IMPORTRANGE(""https://docs.google.com/spreadsheets/d/1-uDff_7J0KD5mKrp0Vvzr7lt3OU09vwQwhkpOPPYv2Y/edit?usp=sharing"",""งบพรบ!W45"")"),0)</f>
        <v>0</v>
      </c>
      <c r="N52" s="425">
        <f ca="1">IFERROR(__xludf.DUMMYFUNCTION("IMPORTRANGE(""https://docs.google.com/spreadsheets/d/1-uDff_7J0KD5mKrp0Vvzr7lt3OU09vwQwhkpOPPYv2Y/edit?usp=sharing"",""งบพรบ!Z45"")"),0)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536100</v>
      </c>
      <c r="M59" s="763">
        <f ca="1">M60+M61</f>
        <v>404350</v>
      </c>
      <c r="N59" s="763">
        <f ca="1">N60+N61</f>
        <v>287805.27</v>
      </c>
      <c r="O59" s="763">
        <f ca="1">IF(L59&gt;0,N59*100/L59,0)</f>
        <v>53.68499720201455</v>
      </c>
      <c r="P59" s="763">
        <f ca="1">IF(M59&gt;0,N59*100/M59,0)</f>
        <v>71.177264745888465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536100</v>
      </c>
      <c r="M61" s="752">
        <f ca="1">M64+M67</f>
        <v>404350</v>
      </c>
      <c r="N61" s="752">
        <f ca="1">N64+N67</f>
        <v>287805.27</v>
      </c>
      <c r="O61" s="752">
        <f ca="1">IF(L61&gt;0,N61*100/L61,0)</f>
        <v>53.68499720201455</v>
      </c>
      <c r="P61" s="752">
        <f ca="1">IF(M61&gt;0,N61*100/M61,0)</f>
        <v>71.177264745888465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536100</v>
      </c>
      <c r="M62" s="425">
        <f ca="1">M63+M64</f>
        <v>404350</v>
      </c>
      <c r="N62" s="425">
        <f ca="1">N63+N64</f>
        <v>287805.27</v>
      </c>
      <c r="O62" s="425">
        <f ca="1">IF(L62&gt;0,N62*100/L62,0)</f>
        <v>53.68499720201455</v>
      </c>
      <c r="P62" s="425">
        <f ca="1">IF(M62&gt;0,N62*100/M62,0)</f>
        <v>71.177264745888465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IFERROR(__xludf.DUMMYFUNCTION("IMPORTRANGE(""https://docs.google.com/spreadsheets/d/1-uDff_7J0KD5mKrp0Vvzr7lt3OU09vwQwhkpOPPYv2Y/edit?usp=sharing"",""งบพรบ!AC45"")"),536100)</f>
        <v>536100</v>
      </c>
      <c r="M64" s="425">
        <f ca="1">IFERROR(__xludf.DUMMYFUNCTION("IMPORTRANGE(""https://docs.google.com/spreadsheets/d/1-uDff_7J0KD5mKrp0Vvzr7lt3OU09vwQwhkpOPPYv2Y/edit?usp=sharing"",""งบพรบ!AH45"")"),404350)</f>
        <v>404350</v>
      </c>
      <c r="N64" s="425">
        <f ca="1">IFERROR(__xludf.DUMMYFUNCTION("IMPORTRANGE(""https://docs.google.com/spreadsheets/d/1-uDff_7J0KD5mKrp0Vvzr7lt3OU09vwQwhkpOPPYv2Y/edit?usp=sharing"",""งบพรบ!AJ45"")"),287805.27)</f>
        <v>287805.27</v>
      </c>
      <c r="O64" s="425">
        <f ca="1">IF(L64&gt;0,N64*100/L64,0)</f>
        <v>53.68499720201455</v>
      </c>
      <c r="P64" s="425">
        <f ca="1">IF(M64&gt;0,N64*100/M64,0)</f>
        <v>71.177264745888465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IFERROR(__xludf.DUMMYFUNCTION("IMPORTRANGE(""https://docs.google.com/spreadsheets/d/1-uDff_7J0KD5mKrp0Vvzr7lt3OU09vwQwhkpOPPYv2Y/edit?usp=sharing"",""งบพรบ!AF45"")"),0)</f>
        <v>0</v>
      </c>
      <c r="M67" s="747">
        <f ca="1">IFERROR(__xludf.DUMMYFUNCTION("IMPORTRANGE(""https://docs.google.com/spreadsheets/d/1-uDff_7J0KD5mKrp0Vvzr7lt3OU09vwQwhkpOPPYv2Y/edit?usp=sharing"",""งบพรบ!AI45"")"),0)</f>
        <v>0</v>
      </c>
      <c r="N67" s="747">
        <f ca="1">IFERROR(__xludf.DUMMYFUNCTION("IMPORTRANGE(""https://docs.google.com/spreadsheets/d/1-uDff_7J0KD5mKrp0Vvzr7lt3OU09vwQwhkpOPPYv2Y/edit?usp=sharing"",""งบพรบ!AK45"")"),0)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19.5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hidden="1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hidden="1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0</v>
      </c>
      <c r="J70" s="705">
        <f>J82</f>
        <v>0</v>
      </c>
      <c r="K70" s="704">
        <f ca="1">IF(I70&gt;0,J70*100/I70,0)</f>
        <v>0</v>
      </c>
      <c r="L70" s="703"/>
      <c r="M70" s="703"/>
      <c r="N70" s="703"/>
      <c r="O70" s="703"/>
      <c r="P70" s="703"/>
    </row>
    <row r="71" spans="1:16" ht="19.5" hidden="1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0</v>
      </c>
      <c r="J71" s="705">
        <f>J83</f>
        <v>0</v>
      </c>
      <c r="K71" s="704">
        <f ca="1">IF(I71&gt;0,J71*100/I71,0)</f>
        <v>0</v>
      </c>
      <c r="L71" s="703"/>
      <c r="M71" s="703"/>
      <c r="N71" s="703"/>
      <c r="O71" s="703"/>
      <c r="P71" s="703"/>
    </row>
    <row r="72" spans="1:16" ht="19.5" hidden="1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0</v>
      </c>
      <c r="M72" s="577">
        <f ca="1">M73+M74</f>
        <v>0</v>
      </c>
      <c r="N72" s="577">
        <f ca="1">N73+N74</f>
        <v>0</v>
      </c>
      <c r="O72" s="577">
        <f ca="1">IF(L72&gt;0,N72*100/L72,0)</f>
        <v>0</v>
      </c>
      <c r="P72" s="577">
        <f ca="1">IF(M72&gt;0,N72*100/M72,0)</f>
        <v>0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hidden="1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hidden="1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IFERROR(__xludf.DUMMYFUNCTION("IMPORTRANGE(""https://docs.google.com/spreadsheets/d/1-uDff_7J0KD5mKrp0Vvzr7lt3OU09vwQwhkpOPPYv2Y/edit?usp=sharing"",""งบพรบ!AM45"")"),0)</f>
        <v>0</v>
      </c>
      <c r="M77" s="425">
        <f ca="1">IFERROR(__xludf.DUMMYFUNCTION("IMPORTRANGE(""https://docs.google.com/spreadsheets/d/1-uDff_7J0KD5mKrp0Vvzr7lt3OU09vwQwhkpOPPYv2Y/edit?usp=sharing"",""งบพรบ!AR45"")"),0)</f>
        <v>0</v>
      </c>
      <c r="N77" s="425">
        <f ca="1">IFERROR(__xludf.DUMMYFUNCTION("IMPORTRANGE(""https://docs.google.com/spreadsheets/d/1-uDff_7J0KD5mKrp0Vvzr7lt3OU09vwQwhkpOPPYv2Y/edit?usp=sharing"",""งบพรบ!AT45"")"),0)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hidden="1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IFERROR(__xludf.DUMMYFUNCTION("IMPORTRANGE(""https://docs.google.com/spreadsheets/d/1-uDff_7J0KD5mKrp0Vvzr7lt3OU09vwQwhkpOPPYv2Y/edit?usp=sharing"",""งบพรบ!AP45"")"),0)</f>
        <v>0</v>
      </c>
      <c r="M80" s="425">
        <f ca="1">IFERROR(__xludf.DUMMYFUNCTION("IMPORTRANGE(""https://docs.google.com/spreadsheets/d/1-uDff_7J0KD5mKrp0Vvzr7lt3OU09vwQwhkpOPPYv2Y/edit?usp=sharing"",""งบพรบ!AS45"")"),0)</f>
        <v>0</v>
      </c>
      <c r="N80" s="425">
        <f ca="1">IFERROR(__xludf.DUMMYFUNCTION("IMPORTRANGE(""https://docs.google.com/spreadsheets/d/1-uDff_7J0KD5mKrp0Vvzr7lt3OU09vwQwhkpOPPYv2Y/edit?usp=sharing"",""งบพรบ!AU45"")"),0)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hidden="1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0</v>
      </c>
      <c r="J82" s="625">
        <f>J84+J86+J88</f>
        <v>0</v>
      </c>
      <c r="K82" s="624">
        <f ca="1">IF(I82&gt;0,J82*100/I82,0)</f>
        <v>0</v>
      </c>
      <c r="L82" s="525"/>
      <c r="M82" s="525"/>
      <c r="N82" s="525"/>
      <c r="O82" s="525"/>
      <c r="P82" s="525"/>
    </row>
    <row r="83" spans="1:16" ht="19.5" hidden="1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0</v>
      </c>
      <c r="J83" s="625">
        <f>J85+J87+J89</f>
        <v>0</v>
      </c>
      <c r="K83" s="624">
        <f ca="1">IF(I83&gt;0,J83*100/I83,0)</f>
        <v>0</v>
      </c>
      <c r="L83" s="525"/>
      <c r="M83" s="525"/>
      <c r="N83" s="525"/>
      <c r="O83" s="525"/>
      <c r="P83" s="525"/>
    </row>
    <row r="84" spans="1:16" ht="18.75" hidden="1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IFERROR(__xludf.DUMMYFUNCTION("IMPORTRANGE(""https://docs.google.com/spreadsheets/d/1eHaY18a8A9IcSdp1K8H6x8fbOy06t2VsZHhMHf-1x7Y/edit?usp=sharing"",""แผน!H45"")"),0)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hidden="1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IFERROR(__xludf.DUMMYFUNCTION("IMPORTRANGE(""https://docs.google.com/spreadsheets/d/1eHaY18a8A9IcSdp1K8H6x8fbOy06t2VsZHhMHf-1x7Y/edit?usp=sharing"",""แผน!I45"")"),0)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hidden="1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IFERROR(__xludf.DUMMYFUNCTION("IMPORTRANGE(""https://docs.google.com/spreadsheets/d/1eHaY18a8A9IcSdp1K8H6x8fbOy06t2VsZHhMHf-1x7Y/edit?usp=sharing"",""แผน!F45"")"),0)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hidden="1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IFERROR(__xludf.DUMMYFUNCTION("IMPORTRANGE(""https://docs.google.com/spreadsheets/d/1eHaY18a8A9IcSdp1K8H6x8fbOy06t2VsZHhMHf-1x7Y/edit?usp=sharing"",""แผน!G45"")"),0)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hidden="1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IFERROR(__xludf.DUMMYFUNCTION("IMPORTRANGE(""https://docs.google.com/spreadsheets/d/1eHaY18a8A9IcSdp1K8H6x8fbOy06t2VsZHhMHf-1x7Y/edit?usp=sharing"",""แผน!D45"")"),0)</f>
        <v>0</v>
      </c>
      <c r="J88" s="595">
        <v>0</v>
      </c>
      <c r="K88" s="621">
        <f ca="1">IF(I88&gt;0,J88*100/I88,0)</f>
        <v>0</v>
      </c>
      <c r="L88" s="525"/>
      <c r="M88" s="525"/>
      <c r="N88" s="525"/>
      <c r="O88" s="525"/>
      <c r="P88" s="525"/>
    </row>
    <row r="89" spans="1:16" ht="18.75" hidden="1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IFERROR(__xludf.DUMMYFUNCTION("IMPORTRANGE(""https://docs.google.com/spreadsheets/d/1eHaY18a8A9IcSdp1K8H6x8fbOy06t2VsZHhMHf-1x7Y/edit?usp=sharing"",""แผน!E45"")"),0)</f>
        <v>0</v>
      </c>
      <c r="J89" s="595">
        <v>0</v>
      </c>
      <c r="K89" s="621">
        <f ca="1">IF(I89&gt;0,J89*100/I89,0)</f>
        <v>0</v>
      </c>
      <c r="L89" s="525"/>
      <c r="M89" s="525"/>
      <c r="N89" s="525"/>
      <c r="O89" s="525"/>
      <c r="P89" s="525"/>
    </row>
    <row r="90" spans="1:16" ht="18.75" hidden="1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IFERROR(__xludf.DUMMYFUNCTION("IMPORTRANGE(""https://docs.google.com/spreadsheets/d/1eHaY18a8A9IcSdp1K8H6x8fbOy06t2VsZHhMHf-1x7Y/edit?usp=sharing"",""แผน!J45"")"),0)</f>
        <v>0</v>
      </c>
      <c r="J90" s="595">
        <v>0</v>
      </c>
      <c r="K90" s="621">
        <f ca="1">IF(I90&gt;0,J90*100/I90,0)</f>
        <v>0</v>
      </c>
      <c r="L90" s="525"/>
      <c r="M90" s="525"/>
      <c r="N90" s="525"/>
      <c r="O90" s="525"/>
      <c r="P90" s="525"/>
    </row>
    <row r="91" spans="1:16" ht="19.5" hidden="1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hidden="1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0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hidden="1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0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hidden="1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0</v>
      </c>
      <c r="M94" s="577">
        <f ca="1">M95+M96</f>
        <v>0</v>
      </c>
      <c r="N94" s="577">
        <f ca="1">N95+N96</f>
        <v>0</v>
      </c>
      <c r="O94" s="577">
        <f ca="1">IF(L94&gt;0,N94*100/L94,0)</f>
        <v>0</v>
      </c>
      <c r="P94" s="577">
        <f ca="1">IF(M94&gt;0,N94*100/M94,0)</f>
        <v>0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hidden="1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hidden="1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IFERROR(__xludf.DUMMYFUNCTION("IMPORTRANGE(""https://docs.google.com/spreadsheets/d/1-uDff_7J0KD5mKrp0Vvzr7lt3OU09vwQwhkpOPPYv2Y/edit?usp=sharing"",""งบพรบ!AW45"")"),0)</f>
        <v>0</v>
      </c>
      <c r="M99" s="425">
        <f ca="1">IFERROR(__xludf.DUMMYFUNCTION("IMPORTRANGE(""https://docs.google.com/spreadsheets/d/1-uDff_7J0KD5mKrp0Vvzr7lt3OU09vwQwhkpOPPYv2Y/edit?usp=sharing"",""งบพรบ!BB45"")"),0)</f>
        <v>0</v>
      </c>
      <c r="N99" s="425">
        <f ca="1">IFERROR(__xludf.DUMMYFUNCTION("IMPORTRANGE(""https://docs.google.com/spreadsheets/d/1-uDff_7J0KD5mKrp0Vvzr7lt3OU09vwQwhkpOPPYv2Y/edit?usp=sharing"",""งบพรบ!BD45"")"),0)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hidden="1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IFERROR(__xludf.DUMMYFUNCTION("IMPORTRANGE(""https://docs.google.com/spreadsheets/d/1-uDff_7J0KD5mKrp0Vvzr7lt3OU09vwQwhkpOPPYv2Y/edit?usp=sharing"",""งบพรบ!AZ45"")"),0)</f>
        <v>0</v>
      </c>
      <c r="M102" s="425">
        <f ca="1">IFERROR(__xludf.DUMMYFUNCTION("IMPORTRANGE(""https://docs.google.com/spreadsheets/d/1-uDff_7J0KD5mKrp0Vvzr7lt3OU09vwQwhkpOPPYv2Y/edit?usp=sharing"",""งบพรบ!BC45"")"),0)</f>
        <v>0</v>
      </c>
      <c r="N102" s="425">
        <f ca="1">IFERROR(__xludf.DUMMYFUNCTION("IMPORTRANGE(""https://docs.google.com/spreadsheets/d/1-uDff_7J0KD5mKrp0Vvzr7lt3OU09vwQwhkpOPPYv2Y/edit?usp=sharing"",""งบพรบ!BE45"")"),0)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hidden="1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hidden="1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IFERROR(__xludf.DUMMYFUNCTION("IMPORTRANGE(""https://docs.google.com/spreadsheets/d/1eHaY18a8A9IcSdp1K8H6x8fbOy06t2VsZHhMHf-1x7Y/edit?usp=sharing"",""แผน!N45"")"),0)</f>
        <v>0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hidden="1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IFERROR(__xludf.DUMMYFUNCTION("IMPORTRANGE(""https://docs.google.com/spreadsheets/d/1eHaY18a8A9IcSdp1K8H6x8fbOy06t2VsZHhMHf-1x7Y/edit?usp=sharing"",""แผน!O45"")"),0)</f>
        <v>0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hidden="1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IFERROR(__xludf.DUMMYFUNCTION("IMPORTRANGE(""https://docs.google.com/spreadsheets/d/1eHaY18a8A9IcSdp1K8H6x8fbOy06t2VsZHhMHf-1x7Y/edit?usp=sharing"",""แผน!R45"")"),0)</f>
        <v>0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IFERROR(__xludf.DUMMYFUNCTION("IMPORTRANGE(""https://docs.google.com/spreadsheets/d/1-uDff_7J0KD5mKrp0Vvzr7lt3OU09vwQwhkpOPPYv2Y/edit?usp=sharing"",""งบพรบ!BG45"")"),0)</f>
        <v>0</v>
      </c>
      <c r="M130" s="723">
        <f ca="1">IFERROR(__xludf.DUMMYFUNCTION("IMPORTRANGE(""https://docs.google.com/spreadsheets/d/1-uDff_7J0KD5mKrp0Vvzr7lt3OU09vwQwhkpOPPYv2Y/edit?usp=sharing"",""งบพรบ!BL45"")"),0)</f>
        <v>0</v>
      </c>
      <c r="N130" s="723">
        <f ca="1">IFERROR(__xludf.DUMMYFUNCTION("IMPORTRANGE(""https://docs.google.com/spreadsheets/d/1-uDff_7J0KD5mKrp0Vvzr7lt3OU09vwQwhkpOPPYv2Y/edit?usp=sharing"",""งบพรบ!BN45"")"),0)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IFERROR(__xludf.DUMMYFUNCTION("IMPORTRANGE(""https://docs.google.com/spreadsheets/d/1-uDff_7J0KD5mKrp0Vvzr7lt3OU09vwQwhkpOPPYv2Y/edit?usp=sharing"",""งบพรบ!BJ45"")"),0)</f>
        <v>0</v>
      </c>
      <c r="M133" s="723">
        <f ca="1">IFERROR(__xludf.DUMMYFUNCTION("IMPORTRANGE(""https://docs.google.com/spreadsheets/d/1-uDff_7J0KD5mKrp0Vvzr7lt3OU09vwQwhkpOPPYv2Y/edit?usp=sharing"",""งบพรบ!BM45"")"),0)</f>
        <v>0</v>
      </c>
      <c r="N133" s="723">
        <f ca="1">IFERROR(__xludf.DUMMYFUNCTION("IMPORTRANGE(""https://docs.google.com/spreadsheets/d/1-uDff_7J0KD5mKrp0Vvzr7lt3OU09vwQwhkpOPPYv2Y/edit?usp=sharing"",""งบพรบ!BO45"")"),0)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0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40</v>
      </c>
      <c r="J137" s="705">
        <f>J152</f>
        <v>0</v>
      </c>
      <c r="K137" s="704">
        <f ca="1">IF(I137&gt;0,J137*100/I137,0)</f>
        <v>0</v>
      </c>
      <c r="L137" s="703"/>
      <c r="M137" s="703"/>
      <c r="N137" s="703"/>
      <c r="O137" s="703"/>
      <c r="P137" s="703"/>
    </row>
    <row r="138" spans="1:16" ht="19.5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4</v>
      </c>
      <c r="J138" s="705">
        <f>J153</f>
        <v>0</v>
      </c>
      <c r="K138" s="704">
        <f ca="1">IF(I138&gt;0,J138*100/I138,0)</f>
        <v>0</v>
      </c>
      <c r="L138" s="703"/>
      <c r="M138" s="703"/>
      <c r="N138" s="703"/>
      <c r="O138" s="703"/>
      <c r="P138" s="703"/>
    </row>
    <row r="139" spans="1:16" ht="19.5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48200</v>
      </c>
      <c r="M139" s="577">
        <f ca="1">M140+M141</f>
        <v>43200</v>
      </c>
      <c r="N139" s="577">
        <f ca="1">N140+N141</f>
        <v>0</v>
      </c>
      <c r="O139" s="577">
        <f ca="1">IF(L139&gt;0,N139*100/L139,0)</f>
        <v>0</v>
      </c>
      <c r="P139" s="577">
        <f ca="1">IF(M139&gt;0,N139*100/M139,0)</f>
        <v>0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48200</v>
      </c>
      <c r="M141" s="425">
        <f ca="1">M144+M147</f>
        <v>43200</v>
      </c>
      <c r="N141" s="425">
        <f ca="1">N144+N147</f>
        <v>0</v>
      </c>
      <c r="O141" s="425">
        <f ca="1">IF(L141&gt;0,N141*100/L141,0)</f>
        <v>0</v>
      </c>
      <c r="P141" s="425">
        <f ca="1">IF(M141&gt;0,N141*100/M141,0)</f>
        <v>0</v>
      </c>
    </row>
    <row r="142" spans="1:16" ht="18.75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48200</v>
      </c>
      <c r="M142" s="425">
        <f ca="1">M143+M144</f>
        <v>43200</v>
      </c>
      <c r="N142" s="425">
        <f ca="1">N143+N144</f>
        <v>0</v>
      </c>
      <c r="O142" s="425">
        <f ca="1">IF(L142&gt;0,N142*100/L142,0)</f>
        <v>0</v>
      </c>
      <c r="P142" s="425">
        <f ca="1">IF(M142&gt;0,N142*100/M142,0)</f>
        <v>0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IFERROR(__xludf.DUMMYFUNCTION("IMPORTRANGE(""https://docs.google.com/spreadsheets/d/1-uDff_7J0KD5mKrp0Vvzr7lt3OU09vwQwhkpOPPYv2Y/edit?usp=sharing"",""งบพรบ!BQ45"")"),48200)</f>
        <v>48200</v>
      </c>
      <c r="M144" s="425">
        <f ca="1">IFERROR(__xludf.DUMMYFUNCTION("IMPORTRANGE(""https://docs.google.com/spreadsheets/d/1-uDff_7J0KD5mKrp0Vvzr7lt3OU09vwQwhkpOPPYv2Y/edit?usp=sharing"",""งบพรบ!BV45"")"),43200)</f>
        <v>43200</v>
      </c>
      <c r="N144" s="425">
        <f ca="1">IFERROR(__xludf.DUMMYFUNCTION("IMPORTRANGE(""https://docs.google.com/spreadsheets/d/1-uDff_7J0KD5mKrp0Vvzr7lt3OU09vwQwhkpOPPYv2Y/edit?usp=sharing"",""งบพรบ!BX45"")"),0)</f>
        <v>0</v>
      </c>
      <c r="O144" s="425">
        <f ca="1">IF(L144&gt;0,N144*100/L144,0)</f>
        <v>0</v>
      </c>
      <c r="P144" s="425">
        <f ca="1">IF(M144&gt;0,N144*100/M144,0)</f>
        <v>0</v>
      </c>
    </row>
    <row r="145" spans="1:16" ht="18.75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IFERROR(__xludf.DUMMYFUNCTION("IMPORTRANGE(""https://docs.google.com/spreadsheets/d/1-uDff_7J0KD5mKrp0Vvzr7lt3OU09vwQwhkpOPPYv2Y/edit?usp=sharing"",""งบพรบ!BT45"")"),0)</f>
        <v>0</v>
      </c>
      <c r="M147" s="425">
        <f ca="1">IFERROR(__xludf.DUMMYFUNCTION("IMPORTRANGE(""https://docs.google.com/spreadsheets/d/1-uDff_7J0KD5mKrp0Vvzr7lt3OU09vwQwhkpOPPYv2Y/edit?usp=sharing"",""งบพรบ!BW45"")"),0)</f>
        <v>0</v>
      </c>
      <c r="N147" s="425">
        <f ca="1">IFERROR(__xludf.DUMMYFUNCTION("IMPORTRANGE(""https://docs.google.com/spreadsheets/d/1-uDff_7J0KD5mKrp0Vvzr7lt3OU09vwQwhkpOPPYv2Y/edit?usp=sharing"",""งบพรบ!BY45"")"),0)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x14ac:dyDescent="0.3">
      <c r="A150" s="535"/>
      <c r="B150" s="418"/>
      <c r="C150" s="418"/>
      <c r="D150" s="420"/>
      <c r="E150" s="570" t="s">
        <v>159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IFERROR(__xludf.DUMMYFUNCTION("IMPORTRANGE(""https://docs.google.com/spreadsheets/d/1eHaY18a8A9IcSdp1K8H6x8fbOy06t2VsZHhMHf-1x7Y/edit?usp=sharing"",""แผน!U45"")"),0)</f>
        <v>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IFERROR(__xludf.DUMMYFUNCTION("IMPORTRANGE(""https://docs.google.com/spreadsheets/d/1eHaY18a8A9IcSdp1K8H6x8fbOy06t2VsZHhMHf-1x7Y/edit?usp=sharing"",""แผน!V45"")"),0)</f>
        <v>0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x14ac:dyDescent="0.3">
      <c r="A152" s="535"/>
      <c r="B152" s="418"/>
      <c r="C152" s="418"/>
      <c r="D152" s="420"/>
      <c r="E152" s="570" t="s">
        <v>158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IFERROR(__xludf.DUMMYFUNCTION("IMPORTRANGE(""https://docs.google.com/spreadsheets/d/1eHaY18a8A9IcSdp1K8H6x8fbOy06t2VsZHhMHf-1x7Y/edit?usp=sharing"",""แผน!W45"")"),40)</f>
        <v>40</v>
      </c>
      <c r="J152" s="595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IFERROR(__xludf.DUMMYFUNCTION("IMPORTRANGE(""https://docs.google.com/spreadsheets/d/1eHaY18a8A9IcSdp1K8H6x8fbOy06t2VsZHhMHf-1x7Y/edit?usp=sharing"",""แผน!X45"")"),4)</f>
        <v>4</v>
      </c>
      <c r="J153" s="595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IFERROR(__xludf.DUMMYFUNCTION("IMPORTRANGE(""https://docs.google.com/spreadsheets/d/1eHaY18a8A9IcSdp1K8H6x8fbOy06t2VsZHhMHf-1x7Y/edit?usp=sharing"",""แผน!Y45"")"),0)</f>
        <v>0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I167</f>
        <v>10</v>
      </c>
      <c r="J156" s="705">
        <f>J167</f>
        <v>0</v>
      </c>
      <c r="K156" s="704">
        <f ca="1">IF(I156&gt;0,J156*100/I156,0)</f>
        <v>0</v>
      </c>
      <c r="L156" s="703"/>
      <c r="M156" s="703"/>
      <c r="N156" s="703"/>
      <c r="O156" s="703"/>
      <c r="P156" s="703"/>
    </row>
    <row r="157" spans="1:16" ht="19.5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3000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3000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3000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IFERROR(__xludf.DUMMYFUNCTION("IMPORTRANGE(""https://docs.google.com/spreadsheets/d/1-uDff_7J0KD5mKrp0Vvzr7lt3OU09vwQwhkpOPPYv2Y/edit?usp=sharing"",""งบพรบ!CA45"")"),3000)</f>
        <v>3000</v>
      </c>
      <c r="M162" s="425">
        <f ca="1">IFERROR(__xludf.DUMMYFUNCTION("IMPORTRANGE(""https://docs.google.com/spreadsheets/d/1-uDff_7J0KD5mKrp0Vvzr7lt3OU09vwQwhkpOPPYv2Y/edit?usp=sharing"",""งบพรบ!CF45"")"),0)</f>
        <v>0</v>
      </c>
      <c r="N162" s="425">
        <f ca="1">IFERROR(__xludf.DUMMYFUNCTION("IMPORTRANGE(""https://docs.google.com/spreadsheets/d/1-uDff_7J0KD5mKrp0Vvzr7lt3OU09vwQwhkpOPPYv2Y/edit?usp=sharing"",""งบพรบ!CH45"")"),0)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IFERROR(__xludf.DUMMYFUNCTION("IMPORTRANGE(""https://docs.google.com/spreadsheets/d/1-uDff_7J0KD5mKrp0Vvzr7lt3OU09vwQwhkpOPPYv2Y/edit?usp=sharing"",""งบพรบ!CD45"")"),0)</f>
        <v>0</v>
      </c>
      <c r="M165" s="425">
        <f ca="1">IFERROR(__xludf.DUMMYFUNCTION("IMPORTRANGE(""https://docs.google.com/spreadsheets/d/1-uDff_7J0KD5mKrp0Vvzr7lt3OU09vwQwhkpOPPYv2Y/edit?usp=sharing"",""งบพรบ!CG45"")"),0)</f>
        <v>0</v>
      </c>
      <c r="N165" s="425">
        <f ca="1">IFERROR(__xludf.DUMMYFUNCTION("IMPORTRANGE(""https://docs.google.com/spreadsheets/d/1-uDff_7J0KD5mKrp0Vvzr7lt3OU09vwQwhkpOPPYv2Y/edit?usp=sharing"",""งบพรบ!CI45"")"),0)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IFERROR(__xludf.DUMMYFUNCTION("IMPORTRANGE(""https://docs.google.com/spreadsheets/d/1eHaY18a8A9IcSdp1K8H6x8fbOy06t2VsZHhMHf-1x7Y/edit?usp=sharing"",""แผน!Z45"")"),10)</f>
        <v>10</v>
      </c>
      <c r="J167" s="595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I167</f>
        <v>10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I167</f>
        <v>10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7</v>
      </c>
      <c r="J172" s="688">
        <f>J183+J184</f>
        <v>7</v>
      </c>
      <c r="K172" s="687">
        <f ca="1">IF(I172&gt;0,J172*100/I172,0)</f>
        <v>100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19590</v>
      </c>
      <c r="M173" s="577">
        <f ca="1">M174+M175</f>
        <v>19590</v>
      </c>
      <c r="N173" s="577">
        <f ca="1">N174+N175</f>
        <v>18940</v>
      </c>
      <c r="O173" s="577">
        <f ca="1">IF(L173&gt;0,N173*100/L173,0)</f>
        <v>96.681980602348133</v>
      </c>
      <c r="P173" s="577">
        <f ca="1">IF(M173&gt;0,N173*100/M173,0)</f>
        <v>96.681980602348133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19590</v>
      </c>
      <c r="N175" s="425">
        <f ca="1">N178+N181</f>
        <v>18940</v>
      </c>
      <c r="O175" s="425">
        <f ca="1">IF(L175&gt;0,N175*100/L175,0)</f>
        <v>96.681980602348133</v>
      </c>
      <c r="P175" s="425">
        <f ca="1">IF(M175&gt;0,N175*100/M175,0)</f>
        <v>96.681980602348133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19590</v>
      </c>
      <c r="M176" s="425">
        <f ca="1">M177+M178</f>
        <v>19590</v>
      </c>
      <c r="N176" s="425">
        <f ca="1">N177+N178</f>
        <v>18940</v>
      </c>
      <c r="O176" s="425">
        <f ca="1">IF(L176&gt;0,N176*100/L176,0)</f>
        <v>96.681980602348133</v>
      </c>
      <c r="P176" s="425">
        <f ca="1">IF(M176&gt;0,N176*100/M176,0)</f>
        <v>96.681980602348133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IFERROR(__xludf.DUMMYFUNCTION("IMPORTRANGE(""https://docs.google.com/spreadsheets/d/1-uDff_7J0KD5mKrp0Vvzr7lt3OU09vwQwhkpOPPYv2Y/edit?usp=sharing"",""งบพรบ!CK45"")"),19590)</f>
        <v>19590</v>
      </c>
      <c r="M178" s="425">
        <f ca="1">IFERROR(__xludf.DUMMYFUNCTION("IMPORTRANGE(""https://docs.google.com/spreadsheets/d/1-uDff_7J0KD5mKrp0Vvzr7lt3OU09vwQwhkpOPPYv2Y/edit?usp=sharing"",""งบพรบ!CP45"")"),19590)</f>
        <v>19590</v>
      </c>
      <c r="N178" s="425">
        <f ca="1">IFERROR(__xludf.DUMMYFUNCTION("IMPORTRANGE(""https://docs.google.com/spreadsheets/d/1-uDff_7J0KD5mKrp0Vvzr7lt3OU09vwQwhkpOPPYv2Y/edit?usp=sharing"",""งบพรบ!CR45"")"),18940)</f>
        <v>18940</v>
      </c>
      <c r="O178" s="425">
        <f ca="1">IF(L178&gt;0,N178*100/L178,0)</f>
        <v>96.681980602348133</v>
      </c>
      <c r="P178" s="425">
        <f ca="1">IF(M178&gt;0,N178*100/M178,0)</f>
        <v>96.681980602348133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IFERROR(__xludf.DUMMYFUNCTION("IMPORTRANGE(""https://docs.google.com/spreadsheets/d/1-uDff_7J0KD5mKrp0Vvzr7lt3OU09vwQwhkpOPPYv2Y/edit?usp=sharing"",""งบพรบ!CN45"")"),0)</f>
        <v>0</v>
      </c>
      <c r="M181" s="425">
        <f ca="1">IFERROR(__xludf.DUMMYFUNCTION("IMPORTRANGE(""https://docs.google.com/spreadsheets/d/1-uDff_7J0KD5mKrp0Vvzr7lt3OU09vwQwhkpOPPYv2Y/edit?usp=sharing"",""งบพรบ!CQ45"")"),0)</f>
        <v>0</v>
      </c>
      <c r="N181" s="425">
        <f ca="1">IFERROR(__xludf.DUMMYFUNCTION("IMPORTRANGE(""https://docs.google.com/spreadsheets/d/1-uDff_7J0KD5mKrp0Vvzr7lt3OU09vwQwhkpOPPYv2Y/edit?usp=sharing"",""งบพรบ!CS45"")"),0)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IFERROR(__xludf.DUMMYFUNCTION("IMPORTRANGE(""https://docs.google.com/spreadsheets/d/1eHaY18a8A9IcSdp1K8H6x8fbOy06t2VsZHhMHf-1x7Y/edit?usp=sharing"",""แผน!AA45"")"),7)</f>
        <v>7</v>
      </c>
      <c r="J183" s="595">
        <v>7</v>
      </c>
      <c r="K183" s="425">
        <f ca="1">IF(I183&gt;0,J183*100/I183,0)</f>
        <v>100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40</v>
      </c>
      <c r="J185" s="688">
        <f>J230+J231</f>
        <v>0</v>
      </c>
      <c r="K185" s="687">
        <f ca="1">IF(I185&gt;0,J185*100/I185,0)</f>
        <v>0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391900</v>
      </c>
      <c r="M186" s="577">
        <f ca="1">M187+M188</f>
        <v>322900</v>
      </c>
      <c r="N186" s="577">
        <f ca="1">N187+N188</f>
        <v>91599.96</v>
      </c>
      <c r="O186" s="577">
        <f ca="1">IF(L186&gt;0,N186*100/L186,0)</f>
        <v>23.373299311048736</v>
      </c>
      <c r="P186" s="577">
        <f ca="1">IF(M186&gt;0,N186*100/M186,0)</f>
        <v>28.367903375658098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391900</v>
      </c>
      <c r="M188" s="425">
        <f ca="1">M191+M194</f>
        <v>322900</v>
      </c>
      <c r="N188" s="425">
        <f ca="1">N191+N194</f>
        <v>91599.96</v>
      </c>
      <c r="O188" s="425">
        <f ca="1">IF(L188&gt;0,N188*100/L188,0)</f>
        <v>23.373299311048736</v>
      </c>
      <c r="P188" s="425">
        <f ca="1">IF(M188&gt;0,N188*100/M188,0)</f>
        <v>28.367903375658098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391900</v>
      </c>
      <c r="M189" s="425">
        <f ca="1">M190+M191</f>
        <v>322900</v>
      </c>
      <c r="N189" s="425">
        <f ca="1">N190+N191</f>
        <v>91599.96</v>
      </c>
      <c r="O189" s="425">
        <f ca="1">IF(L189&gt;0,N189*100/L189,0)</f>
        <v>23.373299311048736</v>
      </c>
      <c r="P189" s="425">
        <f ca="1">IF(M189&gt;0,N189*100/M189,0)</f>
        <v>28.367903375658098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IFERROR(__xludf.DUMMYFUNCTION("IMPORTRANGE(""https://docs.google.com/spreadsheets/d/1-uDff_7J0KD5mKrp0Vvzr7lt3OU09vwQwhkpOPPYv2Y/edit?usp=sharing"",""งบพรบ!CU45"")"),391900)</f>
        <v>391900</v>
      </c>
      <c r="M191" s="425">
        <f ca="1">IFERROR(__xludf.DUMMYFUNCTION("IMPORTRANGE(""https://docs.google.com/spreadsheets/d/1-uDff_7J0KD5mKrp0Vvzr7lt3OU09vwQwhkpOPPYv2Y/edit?usp=sharing"",""งบพรบ!CZ45"")"),322900)</f>
        <v>322900</v>
      </c>
      <c r="N191" s="425">
        <f ca="1">IFERROR(__xludf.DUMMYFUNCTION("IMPORTRANGE(""https://docs.google.com/spreadsheets/d/1-uDff_7J0KD5mKrp0Vvzr7lt3OU09vwQwhkpOPPYv2Y/edit?usp=sharing"",""งบพรบ!DB45"")"),91599.96)</f>
        <v>91599.96</v>
      </c>
      <c r="O191" s="425">
        <f ca="1">IF(L191&gt;0,N191*100/L191,0)</f>
        <v>23.373299311048736</v>
      </c>
      <c r="P191" s="425">
        <f ca="1">IF(M191&gt;0,N191*100/M191,0)</f>
        <v>28.367903375658098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IFERROR(__xludf.DUMMYFUNCTION("IMPORTRANGE(""https://docs.google.com/spreadsheets/d/1-uDff_7J0KD5mKrp0Vvzr7lt3OU09vwQwhkpOPPYv2Y/edit?usp=sharing"",""งบพรบ!CX45"")"),0)</f>
        <v>0</v>
      </c>
      <c r="M194" s="425">
        <f ca="1">IFERROR(__xludf.DUMMYFUNCTION("IMPORTRANGE(""https://docs.google.com/spreadsheets/d/1-uDff_7J0KD5mKrp0Vvzr7lt3OU09vwQwhkpOPPYv2Y/edit?usp=sharing"",""งบพรบ!DA45"")"),0)</f>
        <v>0</v>
      </c>
      <c r="N194" s="425">
        <f ca="1">IFERROR(__xludf.DUMMYFUNCTION("IMPORTRANGE(""https://docs.google.com/spreadsheets/d/1-uDff_7J0KD5mKrp0Vvzr7lt3OU09vwQwhkpOPPYv2Y/edit?usp=sharing"",""งบพรบ!DC45"")"),0)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0</v>
      </c>
      <c r="K195" s="439">
        <f ca="1">IF(I195&gt;0,J195*100/I195,0)</f>
        <v>0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IFERROR(__xludf.DUMMYFUNCTION("IMPORTRANGE(""https://docs.google.com/spreadsheets/d/1eHaY18a8A9IcSdp1K8H6x8fbOy06t2VsZHhMHf-1x7Y/edit?usp=sharing"",""แผน!AB45"")"),6000)</f>
        <v>6000</v>
      </c>
      <c r="M196" s="428"/>
      <c r="N196" s="686">
        <v>0</v>
      </c>
      <c r="O196" s="577">
        <f ca="1">IF(L196&gt;0,N196*100/L196,0)</f>
        <v>0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IFERROR(__xludf.DUMMYFUNCTION("IMPORTRANGE(""https://docs.google.com/spreadsheets/d/1eHaY18a8A9IcSdp1K8H6x8fbOy06t2VsZHhMHf-1x7Y/edit?usp=sharing"",""แผน!AE45"")"),4)</f>
        <v>4</v>
      </c>
      <c r="J198" s="595">
        <v>0</v>
      </c>
      <c r="K198" s="425">
        <f ca="1">IF(I198&gt;0,J198*100/I198,0)</f>
        <v>0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2</v>
      </c>
      <c r="J202" s="438">
        <f>J209</f>
        <v>0</v>
      </c>
      <c r="K202" s="439">
        <f ca="1">IF(I202&gt;0,J202*100/I202,0)</f>
        <v>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29000</v>
      </c>
      <c r="M203" s="428"/>
      <c r="N203" s="577">
        <f>N204+N205+N206+N207</f>
        <v>0</v>
      </c>
      <c r="O203" s="577">
        <f ca="1">IF(L203&gt;0,N203*100/L203,0)</f>
        <v>0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2" t="s">
        <v>157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IFERROR(__xludf.DUMMYFUNCTION("IMPORTRANGE(""https://docs.google.com/spreadsheets/d/1eHaY18a8A9IcSdp1K8H6x8fbOy06t2VsZHhMHf-1x7Y/edit?usp=sharing"",""แผน!AG45"")"),2000)</f>
        <v>2000</v>
      </c>
      <c r="M204" s="428"/>
      <c r="N204" s="683">
        <v>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IFERROR(__xludf.DUMMYFUNCTION("IMPORTRANGE(""https://docs.google.com/spreadsheets/d/1eHaY18a8A9IcSdp1K8H6x8fbOy06t2VsZHhMHf-1x7Y/edit?usp=sharing"",""แผน!AH45"")"),0)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IFERROR(__xludf.DUMMYFUNCTION("IMPORTRANGE(""https://docs.google.com/spreadsheets/d/1eHaY18a8A9IcSdp1K8H6x8fbOy06t2VsZHhMHf-1x7Y/edit?usp=sharing"",""แผน!AI45"")"),16000)</f>
        <v>16000</v>
      </c>
      <c r="M206" s="428"/>
      <c r="N206" s="683">
        <v>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IFERROR(__xludf.DUMMYFUNCTION("IMPORTRANGE(""https://docs.google.com/spreadsheets/d/1eHaY18a8A9IcSdp1K8H6x8fbOy06t2VsZHhMHf-1x7Y/edit?usp=sharing"",""แผน!AJ45"")"),11000)</f>
        <v>11000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IFERROR(__xludf.DUMMYFUNCTION("IMPORTRANGE(""https://docs.google.com/spreadsheets/d/1eHaY18a8A9IcSdp1K8H6x8fbOy06t2VsZHhMHf-1x7Y/edit?usp=sharing"",""แผน!AK45"")"),2)</f>
        <v>2</v>
      </c>
      <c r="J209" s="595">
        <v>0</v>
      </c>
      <c r="K209" s="621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IFERROR(__xludf.DUMMYFUNCTION("IMPORTRANGE(""https://docs.google.com/spreadsheets/d/1eHaY18a8A9IcSdp1K8H6x8fbOy06t2VsZHhMHf-1x7Y/edit?usp=sharing"",""แผน!JX45"")"),2)</f>
        <v>2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IFERROR(__xludf.DUMMYFUNCTION("IMPORTRANGE(""https://docs.google.com/spreadsheets/d/1eHaY18a8A9IcSdp1K8H6x8fbOy06t2VsZHhMHf-1x7Y/edit?usp=sharing"",""แผน!JY45"")"),1)</f>
        <v>1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hidden="1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0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hidden="1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hidden="1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IFERROR(__xludf.DUMMYFUNCTION("IMPORTRANGE(""https://docs.google.com/spreadsheets/d/1eHaY18a8A9IcSdp1K8H6x8fbOy06t2VsZHhMHf-1x7Y/edit?usp=sharing"",""แผน!AM45"")"),0)</f>
        <v>0</v>
      </c>
      <c r="M215" s="428"/>
      <c r="N215" s="683">
        <v>0</v>
      </c>
      <c r="O215" s="525"/>
      <c r="P215" s="428"/>
    </row>
    <row r="216" spans="1:16" ht="18.75" hidden="1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IFERROR(__xludf.DUMMYFUNCTION("IMPORTRANGE(""https://docs.google.com/spreadsheets/d/1eHaY18a8A9IcSdp1K8H6x8fbOy06t2VsZHhMHf-1x7Y/edit?usp=sharing"",""แผน!AN45"")"),0)</f>
        <v>0</v>
      </c>
      <c r="M216" s="428"/>
      <c r="N216" s="683">
        <v>0</v>
      </c>
      <c r="O216" s="525"/>
      <c r="P216" s="428"/>
    </row>
    <row r="217" spans="1:16" ht="18.75" hidden="1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IFERROR(__xludf.DUMMYFUNCTION("IMPORTRANGE(""https://docs.google.com/spreadsheets/d/1eHaY18a8A9IcSdp1K8H6x8fbOy06t2VsZHhMHf-1x7Y/edit?usp=sharing"",""แผน!AO45"")"),0)</f>
        <v>0</v>
      </c>
      <c r="M217" s="428"/>
      <c r="N217" s="683">
        <v>0</v>
      </c>
      <c r="O217" s="525"/>
      <c r="P217" s="428"/>
    </row>
    <row r="218" spans="1:16" ht="19.5" hidden="1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hidden="1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IFERROR(__xludf.DUMMYFUNCTION("IMPORTRANGE(""https://docs.google.com/spreadsheets/d/1eHaY18a8A9IcSdp1K8H6x8fbOy06t2VsZHhMHf-1x7Y/edit?usp=sharing"",""แผน!AP45"")"),0)</f>
        <v>0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hidden="1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IFERROR(__xludf.DUMMYFUNCTION("IMPORTRANGE(""https://docs.google.com/spreadsheets/d/1eHaY18a8A9IcSdp1K8H6x8fbOy06t2VsZHhMHf-1x7Y/edit?usp=sharing"",""แผน!AP45"")"),0)</f>
        <v>0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12800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4500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2" t="s">
        <v>156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IFERROR(__xludf.DUMMYFUNCTION("IMPORTRANGE(""https://docs.google.com/spreadsheets/d/1eHaY18a8A9IcSdp1K8H6x8fbOy06t2VsZHhMHf-1x7Y/edit?usp=sharing"",""แผน!AR45"")"),3000)</f>
        <v>3000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IFERROR(__xludf.DUMMYFUNCTION("IMPORTRANGE(""https://docs.google.com/spreadsheets/d/1eHaY18a8A9IcSdp1K8H6x8fbOy06t2VsZHhMHf-1x7Y/edit?usp=sharing"",""แผน!AS45"")"),1500)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IFERROR(__xludf.DUMMYFUNCTION("IMPORTRANGE(""https://docs.google.com/spreadsheets/d/1eHaY18a8A9IcSdp1K8H6x8fbOy06t2VsZHhMHf-1x7Y/edit?usp=sharing"",""แผน!AT45"")"),0)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IFERROR(__xludf.DUMMYFUNCTION("IMPORTRANGE(""https://docs.google.com/spreadsheets/d/1eHaY18a8A9IcSdp1K8H6x8fbOy06t2VsZHhMHf-1x7Y/edit?usp=sharing"",""แผน!AV45"")"),12800)</f>
        <v>12800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IFERROR(__xludf.DUMMYFUNCTION("IMPORTRANGE(""https://docs.google.com/spreadsheets/d/1eHaY18a8A9IcSdp1K8H6x8fbOy06t2VsZHhMHf-1x7Y/edit?usp=sharing"",""แผน!AV45"")"),12800)</f>
        <v>12800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IFERROR(__xludf.DUMMYFUNCTION("IMPORTRANGE(""https://docs.google.com/spreadsheets/d/1eHaY18a8A9IcSdp1K8H6x8fbOy06t2VsZHhMHf-1x7Y/edit?usp=sharing"",""แผน!AU45"")"),0)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868"/>
      <c r="B231" s="867"/>
      <c r="C231" s="678" t="s">
        <v>99</v>
      </c>
      <c r="D231" s="866"/>
      <c r="E231" s="866"/>
      <c r="F231" s="866"/>
      <c r="G231" s="865"/>
      <c r="H231" s="677" t="s">
        <v>33</v>
      </c>
      <c r="I231" s="676">
        <f ca="1">I242+I253</f>
        <v>40</v>
      </c>
      <c r="J231" s="676">
        <f>J242+J253</f>
        <v>0</v>
      </c>
      <c r="K231" s="675">
        <f ca="1">IF(I231&gt;0,J231*100/I231,0)</f>
        <v>0</v>
      </c>
      <c r="L231" s="864"/>
      <c r="M231" s="864"/>
      <c r="N231" s="864"/>
      <c r="O231" s="864"/>
      <c r="P231" s="864"/>
    </row>
    <row r="232" spans="1:16" ht="19.5" hidden="1" x14ac:dyDescent="0.3">
      <c r="A232" s="863"/>
      <c r="B232" s="860"/>
      <c r="C232" s="531" t="s">
        <v>16</v>
      </c>
      <c r="D232" s="541" t="s">
        <v>17</v>
      </c>
      <c r="E232" s="860"/>
      <c r="F232" s="860"/>
      <c r="G232" s="859"/>
      <c r="H232" s="673" t="s">
        <v>12</v>
      </c>
      <c r="I232" s="856"/>
      <c r="J232" s="856"/>
      <c r="K232" s="855"/>
      <c r="L232" s="539">
        <f ca="1">L243+L254</f>
        <v>170400</v>
      </c>
      <c r="M232" s="850"/>
      <c r="N232" s="539">
        <f>N243+N254</f>
        <v>0</v>
      </c>
      <c r="O232" s="850"/>
      <c r="P232" s="850"/>
    </row>
    <row r="233" spans="1:16" ht="18.75" hidden="1" x14ac:dyDescent="0.25">
      <c r="A233" s="863"/>
      <c r="B233" s="861"/>
      <c r="C233" s="860"/>
      <c r="D233" s="292" t="s">
        <v>157</v>
      </c>
      <c r="E233" s="860"/>
      <c r="F233" s="860"/>
      <c r="G233" s="859"/>
      <c r="H233" s="536" t="s">
        <v>12</v>
      </c>
      <c r="I233" s="856"/>
      <c r="J233" s="856"/>
      <c r="K233" s="855"/>
      <c r="L233" s="521">
        <f ca="1">L244+L255</f>
        <v>10000</v>
      </c>
      <c r="M233" s="850"/>
      <c r="N233" s="521">
        <f>N244+N255</f>
        <v>0</v>
      </c>
      <c r="O233" s="850"/>
      <c r="P233" s="850"/>
    </row>
    <row r="234" spans="1:16" ht="18.75" hidden="1" x14ac:dyDescent="0.25">
      <c r="A234" s="862"/>
      <c r="B234" s="861"/>
      <c r="C234" s="861"/>
      <c r="D234" s="293" t="s">
        <v>81</v>
      </c>
      <c r="E234" s="860"/>
      <c r="F234" s="860"/>
      <c r="G234" s="859"/>
      <c r="H234" s="536" t="s">
        <v>12</v>
      </c>
      <c r="I234" s="197"/>
      <c r="J234" s="197"/>
      <c r="K234" s="850"/>
      <c r="L234" s="521">
        <f ca="1">L245+L256</f>
        <v>3000</v>
      </c>
      <c r="M234" s="850"/>
      <c r="N234" s="521">
        <f>N245+N256</f>
        <v>0</v>
      </c>
      <c r="O234" s="850"/>
      <c r="P234" s="850"/>
    </row>
    <row r="235" spans="1:16" ht="18.75" hidden="1" x14ac:dyDescent="0.25">
      <c r="A235" s="862"/>
      <c r="B235" s="861"/>
      <c r="C235" s="861"/>
      <c r="D235" s="293" t="s">
        <v>82</v>
      </c>
      <c r="E235" s="860"/>
      <c r="F235" s="860"/>
      <c r="G235" s="859"/>
      <c r="H235" s="536" t="s">
        <v>12</v>
      </c>
      <c r="I235" s="197"/>
      <c r="J235" s="197"/>
      <c r="K235" s="850"/>
      <c r="L235" s="521">
        <f ca="1">L246+L257</f>
        <v>124400</v>
      </c>
      <c r="M235" s="850"/>
      <c r="N235" s="521">
        <f>N246+N257</f>
        <v>0</v>
      </c>
      <c r="O235" s="850"/>
      <c r="P235" s="850"/>
    </row>
    <row r="236" spans="1:16" ht="18.75" hidden="1" x14ac:dyDescent="0.25">
      <c r="A236" s="862"/>
      <c r="B236" s="861"/>
      <c r="C236" s="861"/>
      <c r="D236" s="293" t="s">
        <v>83</v>
      </c>
      <c r="E236" s="860"/>
      <c r="F236" s="860"/>
      <c r="G236" s="859"/>
      <c r="H236" s="536" t="s">
        <v>12</v>
      </c>
      <c r="I236" s="197"/>
      <c r="J236" s="197"/>
      <c r="K236" s="850"/>
      <c r="L236" s="521">
        <f ca="1">L247+L258</f>
        <v>33000</v>
      </c>
      <c r="M236" s="850"/>
      <c r="N236" s="521">
        <f>N247+N258</f>
        <v>0</v>
      </c>
      <c r="O236" s="850"/>
      <c r="P236" s="850"/>
    </row>
    <row r="237" spans="1:16" ht="19.5" hidden="1" x14ac:dyDescent="0.3">
      <c r="A237" s="854"/>
      <c r="B237" s="853"/>
      <c r="C237" s="671" t="s">
        <v>16</v>
      </c>
      <c r="D237" s="530" t="s">
        <v>36</v>
      </c>
      <c r="E237" s="858"/>
      <c r="F237" s="858"/>
      <c r="G237" s="857"/>
      <c r="H237" s="851"/>
      <c r="I237" s="856"/>
      <c r="J237" s="197"/>
      <c r="K237" s="850"/>
      <c r="L237" s="850"/>
      <c r="M237" s="850"/>
      <c r="N237" s="850"/>
      <c r="O237" s="855"/>
      <c r="P237" s="855"/>
    </row>
    <row r="238" spans="1:16" ht="18.75" hidden="1" x14ac:dyDescent="0.25">
      <c r="A238" s="854"/>
      <c r="B238" s="853"/>
      <c r="C238" s="853"/>
      <c r="D238" s="524" t="s">
        <v>102</v>
      </c>
      <c r="E238" s="852"/>
      <c r="F238" s="852"/>
      <c r="G238" s="851"/>
      <c r="H238" s="668" t="s">
        <v>33</v>
      </c>
      <c r="I238" s="199">
        <f ca="1">I249+I260</f>
        <v>40</v>
      </c>
      <c r="J238" s="199">
        <f>J249+J260</f>
        <v>0</v>
      </c>
      <c r="K238" s="521">
        <f ca="1">IF(I238&gt;0,J238*100/I238,0)</f>
        <v>0</v>
      </c>
      <c r="L238" s="850"/>
      <c r="M238" s="850"/>
      <c r="N238" s="850"/>
      <c r="O238" s="850"/>
      <c r="P238" s="850"/>
    </row>
    <row r="239" spans="1:16" ht="18.75" hidden="1" x14ac:dyDescent="0.25">
      <c r="A239" s="854"/>
      <c r="B239" s="853"/>
      <c r="C239" s="853"/>
      <c r="D239" s="670" t="s">
        <v>41</v>
      </c>
      <c r="E239" s="852"/>
      <c r="F239" s="852"/>
      <c r="G239" s="851"/>
      <c r="H239" s="851"/>
      <c r="I239" s="197"/>
      <c r="J239" s="197"/>
      <c r="K239" s="850"/>
      <c r="L239" s="850"/>
      <c r="M239" s="850"/>
      <c r="N239" s="850"/>
      <c r="O239" s="855"/>
      <c r="P239" s="855"/>
    </row>
    <row r="240" spans="1:16" ht="18.75" hidden="1" x14ac:dyDescent="0.25">
      <c r="A240" s="854"/>
      <c r="B240" s="853"/>
      <c r="C240" s="853"/>
      <c r="D240" s="853"/>
      <c r="E240" s="669" t="s">
        <v>103</v>
      </c>
      <c r="F240" s="852"/>
      <c r="G240" s="851"/>
      <c r="H240" s="668" t="s">
        <v>33</v>
      </c>
      <c r="I240" s="199">
        <f ca="1">I251+I262</f>
        <v>40</v>
      </c>
      <c r="J240" s="199">
        <f>J251+J262</f>
        <v>0</v>
      </c>
      <c r="K240" s="521">
        <f ca="1">IF(I240&gt;0,J240*100/I240,0)</f>
        <v>0</v>
      </c>
      <c r="L240" s="850"/>
      <c r="M240" s="850"/>
      <c r="N240" s="850"/>
      <c r="O240" s="850"/>
      <c r="P240" s="850"/>
    </row>
    <row r="241" spans="1:16" ht="18.75" hidden="1" x14ac:dyDescent="0.25">
      <c r="A241" s="854"/>
      <c r="B241" s="853"/>
      <c r="C241" s="853"/>
      <c r="D241" s="853"/>
      <c r="E241" s="669" t="s">
        <v>104</v>
      </c>
      <c r="F241" s="852"/>
      <c r="G241" s="851"/>
      <c r="H241" s="668" t="s">
        <v>54</v>
      </c>
      <c r="I241" s="199">
        <f ca="1">I252+I263</f>
        <v>1</v>
      </c>
      <c r="J241" s="199">
        <f>J252+J263</f>
        <v>0</v>
      </c>
      <c r="K241" s="521">
        <f ca="1">IF(I241&gt;0,J241*100/I241,0)</f>
        <v>0</v>
      </c>
      <c r="L241" s="850"/>
      <c r="M241" s="850"/>
      <c r="N241" s="850"/>
      <c r="O241" s="850"/>
      <c r="P241" s="850"/>
    </row>
    <row r="242" spans="1:16" ht="19.5" x14ac:dyDescent="0.3">
      <c r="A242" s="279"/>
      <c r="B242" s="280"/>
      <c r="C242" s="281" t="s">
        <v>173</v>
      </c>
      <c r="D242" s="282"/>
      <c r="E242" s="282"/>
      <c r="F242" s="282"/>
      <c r="G242" s="283"/>
      <c r="H242" s="284" t="s">
        <v>33</v>
      </c>
      <c r="I242" s="285">
        <f ca="1">I249</f>
        <v>40</v>
      </c>
      <c r="J242" s="285">
        <f>J249</f>
        <v>0</v>
      </c>
      <c r="K242" s="286">
        <f ca="1">IF(I242&gt;0,J242*100/I242,0)</f>
        <v>0</v>
      </c>
      <c r="L242" s="287"/>
      <c r="M242" s="287"/>
      <c r="N242" s="287"/>
      <c r="O242" s="287"/>
      <c r="P242" s="287"/>
    </row>
    <row r="243" spans="1:16" ht="19.5" x14ac:dyDescent="0.3">
      <c r="A243" s="157"/>
      <c r="B243" s="53"/>
      <c r="C243" s="158" t="s">
        <v>16</v>
      </c>
      <c r="D243" s="849" t="s">
        <v>17</v>
      </c>
      <c r="E243" s="53"/>
      <c r="F243" s="53"/>
      <c r="G243" s="55"/>
      <c r="H243" s="289" t="s">
        <v>12</v>
      </c>
      <c r="I243" s="164"/>
      <c r="J243" s="164"/>
      <c r="K243" s="165"/>
      <c r="L243" s="161">
        <f ca="1">L244+L245+L246+L247</f>
        <v>170400</v>
      </c>
      <c r="M243" s="58"/>
      <c r="N243" s="161">
        <f>N244+N245+N246+N247</f>
        <v>0</v>
      </c>
      <c r="O243" s="161">
        <f ca="1">IF(L243&gt;0,N243*100/L243,0)</f>
        <v>0</v>
      </c>
      <c r="P243" s="161">
        <f>IF(M243&gt;0,N243*100/M243,0)</f>
        <v>0</v>
      </c>
    </row>
    <row r="244" spans="1:16" ht="18.75" x14ac:dyDescent="0.25">
      <c r="A244" s="157"/>
      <c r="B244" s="278"/>
      <c r="C244" s="53"/>
      <c r="D244" s="292" t="s">
        <v>157</v>
      </c>
      <c r="E244" s="53"/>
      <c r="F244" s="53"/>
      <c r="G244" s="55"/>
      <c r="H244" s="163" t="s">
        <v>12</v>
      </c>
      <c r="I244" s="164"/>
      <c r="J244" s="164"/>
      <c r="K244" s="165"/>
      <c r="L244" s="61">
        <f ca="1">IFERROR(__xludf.DUMMYFUNCTION("IMPORTRANGE(""https://docs.google.com/spreadsheets/d/1eHaY18a8A9IcSdp1K8H6x8fbOy06t2VsZHhMHf-1x7Y/edit?usp=sharing"",""แผน!AX45"")"),10000)</f>
        <v>10000</v>
      </c>
      <c r="M244" s="58"/>
      <c r="N244" s="848">
        <v>0</v>
      </c>
      <c r="O244" s="58"/>
      <c r="P244" s="58"/>
    </row>
    <row r="245" spans="1:16" ht="18.75" x14ac:dyDescent="0.25">
      <c r="A245" s="274"/>
      <c r="B245" s="278"/>
      <c r="C245" s="278"/>
      <c r="D245" s="293" t="s">
        <v>81</v>
      </c>
      <c r="E245" s="53"/>
      <c r="F245" s="53"/>
      <c r="G245" s="55"/>
      <c r="H245" s="163" t="s">
        <v>12</v>
      </c>
      <c r="I245" s="57"/>
      <c r="J245" s="57"/>
      <c r="K245" s="58"/>
      <c r="L245" s="61">
        <f ca="1">IFERROR(__xludf.DUMMYFUNCTION("IMPORTRANGE(""https://docs.google.com/spreadsheets/d/1eHaY18a8A9IcSdp1K8H6x8fbOy06t2VsZHhMHf-1x7Y/edit?usp=sharing"",""แผน!AY45"")"),3000)</f>
        <v>3000</v>
      </c>
      <c r="M245" s="58"/>
      <c r="N245" s="848">
        <v>0</v>
      </c>
      <c r="O245" s="58"/>
      <c r="P245" s="58"/>
    </row>
    <row r="246" spans="1:16" ht="18.75" x14ac:dyDescent="0.25">
      <c r="A246" s="274"/>
      <c r="B246" s="278"/>
      <c r="C246" s="278"/>
      <c r="D246" s="293" t="s">
        <v>82</v>
      </c>
      <c r="E246" s="53"/>
      <c r="F246" s="53"/>
      <c r="G246" s="55"/>
      <c r="H246" s="163" t="s">
        <v>12</v>
      </c>
      <c r="I246" s="57"/>
      <c r="J246" s="57"/>
      <c r="K246" s="58"/>
      <c r="L246" s="61">
        <f ca="1">IFERROR(__xludf.DUMMYFUNCTION("IMPORTRANGE(""https://docs.google.com/spreadsheets/d/1eHaY18a8A9IcSdp1K8H6x8fbOy06t2VsZHhMHf-1x7Y/edit?usp=sharing"",""แผน!AZ45"")"),124400)</f>
        <v>124400</v>
      </c>
      <c r="M246" s="58"/>
      <c r="N246" s="848">
        <v>0</v>
      </c>
      <c r="O246" s="58"/>
      <c r="P246" s="58"/>
    </row>
    <row r="247" spans="1:16" ht="18.75" x14ac:dyDescent="0.25">
      <c r="A247" s="274"/>
      <c r="B247" s="278"/>
      <c r="C247" s="278"/>
      <c r="D247" s="293" t="s">
        <v>83</v>
      </c>
      <c r="E247" s="53"/>
      <c r="F247" s="53"/>
      <c r="G247" s="55"/>
      <c r="H247" s="163" t="s">
        <v>12</v>
      </c>
      <c r="I247" s="57"/>
      <c r="J247" s="57"/>
      <c r="K247" s="58"/>
      <c r="L247" s="61">
        <f ca="1">IFERROR(__xludf.DUMMYFUNCTION("IMPORTRANGE(""https://docs.google.com/spreadsheets/d/1eHaY18a8A9IcSdp1K8H6x8fbOy06t2VsZHhMHf-1x7Y/edit?usp=sharing"",""แผน!BA45"")"),33000)</f>
        <v>33000</v>
      </c>
      <c r="M247" s="58"/>
      <c r="N247" s="848">
        <v>0</v>
      </c>
      <c r="O247" s="58"/>
      <c r="P247" s="58"/>
    </row>
    <row r="248" spans="1:16" ht="19.5" x14ac:dyDescent="0.3">
      <c r="A248" s="167"/>
      <c r="B248" s="168"/>
      <c r="C248" s="296" t="s">
        <v>16</v>
      </c>
      <c r="D248" s="847" t="s">
        <v>36</v>
      </c>
      <c r="E248" s="170"/>
      <c r="F248" s="170"/>
      <c r="G248" s="171"/>
      <c r="H248" s="172"/>
      <c r="I248" s="164"/>
      <c r="J248" s="57"/>
      <c r="K248" s="58"/>
      <c r="L248" s="58"/>
      <c r="M248" s="58"/>
      <c r="N248" s="58"/>
      <c r="O248" s="165"/>
      <c r="P248" s="165"/>
    </row>
    <row r="249" spans="1:16" ht="18.75" x14ac:dyDescent="0.25">
      <c r="A249" s="167"/>
      <c r="B249" s="168"/>
      <c r="C249" s="168"/>
      <c r="D249" s="193" t="s">
        <v>102</v>
      </c>
      <c r="E249" s="174"/>
      <c r="F249" s="174"/>
      <c r="G249" s="172"/>
      <c r="H249" s="295" t="s">
        <v>33</v>
      </c>
      <c r="I249" s="194">
        <f ca="1">IFERROR(__xludf.DUMMYFUNCTION("IMPORTRANGE(""https://docs.google.com/spreadsheets/d/1eHaY18a8A9IcSdp1K8H6x8fbOy06t2VsZHhMHf-1x7Y/edit?usp=sharing"",""แผน!BG45"")"),40)</f>
        <v>40</v>
      </c>
      <c r="J249" s="846">
        <v>0</v>
      </c>
      <c r="K249" s="61">
        <f ca="1">IF(I249&gt;0,J249*100/I249,0)</f>
        <v>0</v>
      </c>
      <c r="L249" s="58"/>
      <c r="M249" s="58"/>
      <c r="N249" s="58"/>
      <c r="O249" s="58"/>
      <c r="P249" s="58"/>
    </row>
    <row r="250" spans="1:16" ht="18.75" x14ac:dyDescent="0.25">
      <c r="A250" s="167"/>
      <c r="B250" s="168"/>
      <c r="C250" s="168"/>
      <c r="D250" s="306" t="s">
        <v>41</v>
      </c>
      <c r="E250" s="174"/>
      <c r="F250" s="174"/>
      <c r="G250" s="172"/>
      <c r="H250" s="172"/>
      <c r="I250" s="57"/>
      <c r="J250" s="57"/>
      <c r="K250" s="58"/>
      <c r="L250" s="58"/>
      <c r="M250" s="58"/>
      <c r="N250" s="58"/>
      <c r="O250" s="165"/>
      <c r="P250" s="165"/>
    </row>
    <row r="251" spans="1:16" ht="18.75" x14ac:dyDescent="0.25">
      <c r="A251" s="167"/>
      <c r="B251" s="168"/>
      <c r="C251" s="168"/>
      <c r="D251" s="168"/>
      <c r="E251" s="447" t="s">
        <v>103</v>
      </c>
      <c r="F251" s="174"/>
      <c r="G251" s="172"/>
      <c r="H251" s="295" t="s">
        <v>33</v>
      </c>
      <c r="I251" s="194">
        <f ca="1">IFERROR(__xludf.DUMMYFUNCTION("IMPORTRANGE(""https://docs.google.com/spreadsheets/d/1eHaY18a8A9IcSdp1K8H6x8fbOy06t2VsZHhMHf-1x7Y/edit?usp=sharing"",""แผน!KL45"")"),40)</f>
        <v>40</v>
      </c>
      <c r="J251" s="846">
        <v>0</v>
      </c>
      <c r="K251" s="61">
        <f ca="1">IF(I251&gt;0,J251*100/I251,0)</f>
        <v>0</v>
      </c>
      <c r="L251" s="58"/>
      <c r="M251" s="58"/>
      <c r="N251" s="58"/>
      <c r="O251" s="58"/>
      <c r="P251" s="58"/>
    </row>
    <row r="252" spans="1:16" ht="18.75" x14ac:dyDescent="0.25">
      <c r="A252" s="167"/>
      <c r="B252" s="168"/>
      <c r="C252" s="168"/>
      <c r="D252" s="168"/>
      <c r="E252" s="447" t="s">
        <v>104</v>
      </c>
      <c r="F252" s="174"/>
      <c r="G252" s="172"/>
      <c r="H252" s="295" t="s">
        <v>54</v>
      </c>
      <c r="I252" s="194">
        <f ca="1">IFERROR(__xludf.DUMMYFUNCTION("IMPORTRANGE(""https://docs.google.com/spreadsheets/d/1eHaY18a8A9IcSdp1K8H6x8fbOy06t2VsZHhMHf-1x7Y/edit?usp=sharing"",""แผน!KM45"")"),1)</f>
        <v>1</v>
      </c>
      <c r="J252" s="846">
        <v>0</v>
      </c>
      <c r="K252" s="61">
        <f ca="1">IF(I252&gt;0,J252*100/I252,0)</f>
        <v>0</v>
      </c>
      <c r="L252" s="58"/>
      <c r="M252" s="58"/>
      <c r="N252" s="58"/>
      <c r="O252" s="58"/>
      <c r="P252" s="58"/>
    </row>
    <row r="253" spans="1:16" ht="19.5" hidden="1" x14ac:dyDescent="0.3">
      <c r="A253" s="432"/>
      <c r="B253" s="434"/>
      <c r="C253" s="678" t="s">
        <v>106</v>
      </c>
      <c r="D253" s="433"/>
      <c r="E253" s="433"/>
      <c r="F253" s="433"/>
      <c r="G253" s="436"/>
      <c r="H253" s="677" t="s">
        <v>33</v>
      </c>
      <c r="I253" s="676">
        <f ca="1">I260</f>
        <v>0</v>
      </c>
      <c r="J253" s="676">
        <f>J260</f>
        <v>0</v>
      </c>
      <c r="K253" s="675">
        <f ca="1">IF(I253&gt;0,J253*100/I253,0)</f>
        <v>0</v>
      </c>
      <c r="L253" s="571"/>
      <c r="M253" s="571"/>
      <c r="N253" s="571"/>
      <c r="O253" s="571"/>
      <c r="P253" s="571"/>
    </row>
    <row r="254" spans="1:16" ht="19.5" hidden="1" x14ac:dyDescent="0.3">
      <c r="A254" s="535"/>
      <c r="B254" s="418"/>
      <c r="C254" s="531" t="s">
        <v>16</v>
      </c>
      <c r="D254" s="674" t="s">
        <v>17</v>
      </c>
      <c r="E254" s="418"/>
      <c r="F254" s="418"/>
      <c r="G254" s="422"/>
      <c r="H254" s="673" t="s">
        <v>12</v>
      </c>
      <c r="I254" s="526"/>
      <c r="J254" s="526"/>
      <c r="K254" s="525"/>
      <c r="L254" s="539">
        <f ca="1">L255+L256+L257+L258</f>
        <v>0</v>
      </c>
      <c r="M254" s="428"/>
      <c r="N254" s="539">
        <f>N255+N256+N257+N258</f>
        <v>0</v>
      </c>
      <c r="O254" s="539">
        <f ca="1">IF(L254&gt;0,N254*100/L254,0)</f>
        <v>0</v>
      </c>
      <c r="P254" s="539">
        <f>IF(M254&gt;0,N254*100/M254,0)</f>
        <v>0</v>
      </c>
    </row>
    <row r="255" spans="1:16" ht="18.75" hidden="1" x14ac:dyDescent="0.25">
      <c r="A255" s="535"/>
      <c r="B255" s="419"/>
      <c r="C255" s="418"/>
      <c r="D255" s="292" t="s">
        <v>157</v>
      </c>
      <c r="E255" s="418"/>
      <c r="F255" s="418"/>
      <c r="G255" s="422"/>
      <c r="H255" s="536" t="s">
        <v>12</v>
      </c>
      <c r="I255" s="526"/>
      <c r="J255" s="526"/>
      <c r="K255" s="525"/>
      <c r="L255" s="521">
        <f ca="1">IFERROR(__xludf.DUMMYFUNCTION("IMPORTRANGE(""https://docs.google.com/spreadsheets/d/1eHaY18a8A9IcSdp1K8H6x8fbOy06t2VsZHhMHf-1x7Y/edit?usp=sharing"",""แผน!BB45"")"),0)</f>
        <v>0</v>
      </c>
      <c r="M255" s="428"/>
      <c r="N255" s="672">
        <v>0</v>
      </c>
      <c r="O255" s="428"/>
      <c r="P255" s="428"/>
    </row>
    <row r="256" spans="1:16" ht="18.75" hidden="1" x14ac:dyDescent="0.25">
      <c r="A256" s="417"/>
      <c r="B256" s="419"/>
      <c r="C256" s="419"/>
      <c r="D256" s="293" t="s">
        <v>81</v>
      </c>
      <c r="E256" s="418"/>
      <c r="F256" s="418"/>
      <c r="G256" s="422"/>
      <c r="H256" s="536" t="s">
        <v>12</v>
      </c>
      <c r="I256" s="427"/>
      <c r="J256" s="427"/>
      <c r="K256" s="428"/>
      <c r="L256" s="521">
        <f ca="1">IFERROR(__xludf.DUMMYFUNCTION("IMPORTRANGE(""https://docs.google.com/spreadsheets/d/1eHaY18a8A9IcSdp1K8H6x8fbOy06t2VsZHhMHf-1x7Y/edit?usp=sharing"",""แผน!BC45"")"),0)</f>
        <v>0</v>
      </c>
      <c r="M256" s="428"/>
      <c r="N256" s="672">
        <v>0</v>
      </c>
      <c r="O256" s="428"/>
      <c r="P256" s="428"/>
    </row>
    <row r="257" spans="1:16" ht="18.75" hidden="1" x14ac:dyDescent="0.25">
      <c r="A257" s="417"/>
      <c r="B257" s="419"/>
      <c r="C257" s="419"/>
      <c r="D257" s="293" t="s">
        <v>82</v>
      </c>
      <c r="E257" s="418"/>
      <c r="F257" s="418"/>
      <c r="G257" s="422"/>
      <c r="H257" s="536" t="s">
        <v>12</v>
      </c>
      <c r="I257" s="427"/>
      <c r="J257" s="427"/>
      <c r="K257" s="428"/>
      <c r="L257" s="521">
        <f ca="1">IFERROR(__xludf.DUMMYFUNCTION("IMPORTRANGE(""https://docs.google.com/spreadsheets/d/1eHaY18a8A9IcSdp1K8H6x8fbOy06t2VsZHhMHf-1x7Y/edit?usp=sharing"",""แผน!BD45"")"),0)</f>
        <v>0</v>
      </c>
      <c r="M257" s="428"/>
      <c r="N257" s="672">
        <v>0</v>
      </c>
      <c r="O257" s="428"/>
      <c r="P257" s="428"/>
    </row>
    <row r="258" spans="1:16" ht="18.75" hidden="1" x14ac:dyDescent="0.25">
      <c r="A258" s="417"/>
      <c r="B258" s="419"/>
      <c r="C258" s="419"/>
      <c r="D258" s="293" t="s">
        <v>83</v>
      </c>
      <c r="E258" s="418"/>
      <c r="F258" s="418"/>
      <c r="G258" s="422"/>
      <c r="H258" s="536" t="s">
        <v>12</v>
      </c>
      <c r="I258" s="427"/>
      <c r="J258" s="427"/>
      <c r="K258" s="428"/>
      <c r="L258" s="521">
        <f ca="1">IFERROR(__xludf.DUMMYFUNCTION("IMPORTRANGE(""https://docs.google.com/spreadsheets/d/1eHaY18a8A9IcSdp1K8H6x8fbOy06t2VsZHhMHf-1x7Y/edit?usp=sharing"",""แผน!BE45"")"),0)</f>
        <v>0</v>
      </c>
      <c r="M258" s="428"/>
      <c r="N258" s="672">
        <v>0</v>
      </c>
      <c r="O258" s="428"/>
      <c r="P258" s="428"/>
    </row>
    <row r="259" spans="1:16" ht="19.5" hidden="1" x14ac:dyDescent="0.3">
      <c r="A259" s="532"/>
      <c r="B259" s="430"/>
      <c r="C259" s="671" t="s">
        <v>16</v>
      </c>
      <c r="D259" s="530" t="s">
        <v>36</v>
      </c>
      <c r="E259" s="529"/>
      <c r="F259" s="529"/>
      <c r="G259" s="528"/>
      <c r="H259" s="527"/>
      <c r="I259" s="526"/>
      <c r="J259" s="427"/>
      <c r="K259" s="428"/>
      <c r="L259" s="428"/>
      <c r="M259" s="428"/>
      <c r="N259" s="428"/>
      <c r="O259" s="525"/>
      <c r="P259" s="525"/>
    </row>
    <row r="260" spans="1:16" ht="18.75" hidden="1" x14ac:dyDescent="0.25">
      <c r="A260" s="532"/>
      <c r="B260" s="430"/>
      <c r="C260" s="430"/>
      <c r="D260" s="524" t="s">
        <v>102</v>
      </c>
      <c r="E260" s="420"/>
      <c r="F260" s="420"/>
      <c r="G260" s="527"/>
      <c r="H260" s="668" t="s">
        <v>33</v>
      </c>
      <c r="I260" s="199">
        <f ca="1">IFERROR(__xludf.DUMMYFUNCTION("IMPORTRANGE(""https://docs.google.com/spreadsheets/d/1eHaY18a8A9IcSdp1K8H6x8fbOy06t2VsZHhMHf-1x7Y/edit?usp=sharing"",""แผน!BH45"")"),0)</f>
        <v>0</v>
      </c>
      <c r="J260" s="522">
        <v>0</v>
      </c>
      <c r="K260" s="521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2"/>
      <c r="B261" s="430"/>
      <c r="C261" s="430"/>
      <c r="D261" s="670" t="s">
        <v>41</v>
      </c>
      <c r="E261" s="420"/>
      <c r="F261" s="420"/>
      <c r="G261" s="527"/>
      <c r="H261" s="527"/>
      <c r="I261" s="427"/>
      <c r="J261" s="427"/>
      <c r="K261" s="428"/>
      <c r="L261" s="428"/>
      <c r="M261" s="428"/>
      <c r="N261" s="428"/>
      <c r="O261" s="525"/>
      <c r="P261" s="525"/>
    </row>
    <row r="262" spans="1:16" ht="18.75" hidden="1" x14ac:dyDescent="0.25">
      <c r="A262" s="532"/>
      <c r="B262" s="430"/>
      <c r="C262" s="430"/>
      <c r="D262" s="430"/>
      <c r="E262" s="669" t="s">
        <v>103</v>
      </c>
      <c r="F262" s="420"/>
      <c r="G262" s="527"/>
      <c r="H262" s="668" t="s">
        <v>33</v>
      </c>
      <c r="I262" s="427"/>
      <c r="J262" s="522">
        <v>0</v>
      </c>
      <c r="K262" s="521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2"/>
      <c r="B263" s="430"/>
      <c r="C263" s="430"/>
      <c r="D263" s="430"/>
      <c r="E263" s="669" t="s">
        <v>104</v>
      </c>
      <c r="F263" s="420"/>
      <c r="G263" s="527"/>
      <c r="H263" s="668" t="s">
        <v>54</v>
      </c>
      <c r="I263" s="427"/>
      <c r="J263" s="522">
        <v>0</v>
      </c>
      <c r="K263" s="521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IFERROR(__xludf.DUMMYFUNCTION("IMPORTRANGE(""https://docs.google.com/spreadsheets/d/1-uDff_7J0KD5mKrp0Vvzr7lt3OU09vwQwhkpOPPYv2Y/edit?usp=sharing"",""งบพรบ!DE45"")"),0)</f>
        <v>0</v>
      </c>
      <c r="M271" s="521">
        <f ca="1">IFERROR(__xludf.DUMMYFUNCTION("IMPORTRANGE(""https://docs.google.com/spreadsheets/d/1-uDff_7J0KD5mKrp0Vvzr7lt3OU09vwQwhkpOPPYv2Y/edit?usp=sharing"",""งบพรบ!DJ45"")"),0)</f>
        <v>0</v>
      </c>
      <c r="N271" s="521">
        <f ca="1">IFERROR(__xludf.DUMMYFUNCTION("IMPORTRANGE(""https://docs.google.com/spreadsheets/d/1-uDff_7J0KD5mKrp0Vvzr7lt3OU09vwQwhkpOPPYv2Y/edit?usp=sharing"",""งบพรบ!DL45"")"),0)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IFERROR(__xludf.DUMMYFUNCTION("IMPORTRANGE(""https://docs.google.com/spreadsheets/d/1-uDff_7J0KD5mKrp0Vvzr7lt3OU09vwQwhkpOPPYv2Y/edit?usp=sharing"",""งบพรบ!DH45"")"),0)</f>
        <v>0</v>
      </c>
      <c r="M274" s="521">
        <f ca="1">IFERROR(__xludf.DUMMYFUNCTION("IMPORTRANGE(""https://docs.google.com/spreadsheets/d/1-uDff_7J0KD5mKrp0Vvzr7lt3OU09vwQwhkpOPPYv2Y/edit?usp=sharing"",""งบพรบ!DK45"")"),0)</f>
        <v>0</v>
      </c>
      <c r="N274" s="521">
        <f ca="1">IFERROR(__xludf.DUMMYFUNCTION("IMPORTRANGE(""https://docs.google.com/spreadsheets/d/1-uDff_7J0KD5mKrp0Vvzr7lt3OU09vwQwhkpOPPYv2Y/edit?usp=sharing"",""งบพรบ!DM45"")"),0)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30</v>
      </c>
      <c r="J280" s="629">
        <f>J293</f>
        <v>0</v>
      </c>
      <c r="K280" s="628">
        <f ca="1">IF(I280&gt;0,J280*100/I280,0)</f>
        <v>0</v>
      </c>
      <c r="L280" s="627"/>
      <c r="M280" s="627"/>
      <c r="N280" s="627"/>
      <c r="O280" s="627"/>
      <c r="P280" s="627"/>
    </row>
    <row r="281" spans="1:16" ht="19.5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300</v>
      </c>
      <c r="J281" s="629">
        <f>J292</f>
        <v>0</v>
      </c>
      <c r="K281" s="628">
        <f ca="1">IF(I281&gt;0,J281*100/I281,0)</f>
        <v>0</v>
      </c>
      <c r="L281" s="627"/>
      <c r="M281" s="627"/>
      <c r="N281" s="627"/>
      <c r="O281" s="627"/>
      <c r="P281" s="627"/>
    </row>
    <row r="282" spans="1:16" ht="19.5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175420</v>
      </c>
      <c r="M282" s="577">
        <f ca="1">M283+M284</f>
        <v>137980</v>
      </c>
      <c r="N282" s="577">
        <f ca="1">N283+N284</f>
        <v>44402.400000000001</v>
      </c>
      <c r="O282" s="577">
        <f ca="1">IF(L282&gt;0,N282*100/L282,0)</f>
        <v>25.312051077414207</v>
      </c>
      <c r="P282" s="577">
        <f ca="1">IF(M282&gt;0,N282*100/M282,0)</f>
        <v>32.180315987824322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175420</v>
      </c>
      <c r="M284" s="425">
        <f ca="1">M287+M290</f>
        <v>137980</v>
      </c>
      <c r="N284" s="425">
        <f ca="1">N287+N290</f>
        <v>44402.400000000001</v>
      </c>
      <c r="O284" s="425">
        <f ca="1">IF(L284&gt;0,N284*100/L284,0)</f>
        <v>25.312051077414207</v>
      </c>
      <c r="P284" s="425">
        <f ca="1">IF(M284&gt;0,N284*100/M284,0)</f>
        <v>32.180315987824322</v>
      </c>
    </row>
    <row r="285" spans="1:16" ht="18.75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175420</v>
      </c>
      <c r="M285" s="425">
        <f ca="1">M286+M287</f>
        <v>137980</v>
      </c>
      <c r="N285" s="425">
        <f ca="1">N286+N287</f>
        <v>44402.400000000001</v>
      </c>
      <c r="O285" s="425">
        <f ca="1">IF(L285&gt;0,N285*100/L285,0)</f>
        <v>25.312051077414207</v>
      </c>
      <c r="P285" s="425">
        <f ca="1">IF(M285&gt;0,N285*100/M285,0)</f>
        <v>32.180315987824322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IFERROR(__xludf.DUMMYFUNCTION("IMPORTRANGE(""https://docs.google.com/spreadsheets/d/1-uDff_7J0KD5mKrp0Vvzr7lt3OU09vwQwhkpOPPYv2Y/edit?usp=sharing"",""งบพรบ!DO45"")"),175420)</f>
        <v>175420</v>
      </c>
      <c r="M287" s="425">
        <f ca="1">IFERROR(__xludf.DUMMYFUNCTION("IMPORTRANGE(""https://docs.google.com/spreadsheets/d/1-uDff_7J0KD5mKrp0Vvzr7lt3OU09vwQwhkpOPPYv2Y/edit?usp=sharing"",""งบพรบ!DT45"")"),137980)</f>
        <v>137980</v>
      </c>
      <c r="N287" s="425">
        <f ca="1">IFERROR(__xludf.DUMMYFUNCTION("IMPORTRANGE(""https://docs.google.com/spreadsheets/d/1-uDff_7J0KD5mKrp0Vvzr7lt3OU09vwQwhkpOPPYv2Y/edit?usp=sharing"",""งบพรบ!DV45"")"),44402.4)</f>
        <v>44402.400000000001</v>
      </c>
      <c r="O287" s="425">
        <f ca="1">IF(L287&gt;0,N287*100/L287,0)</f>
        <v>25.312051077414207</v>
      </c>
      <c r="P287" s="425">
        <f ca="1">IF(M287&gt;0,N287*100/M287,0)</f>
        <v>32.180315987824322</v>
      </c>
    </row>
    <row r="288" spans="1:16" ht="18.75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IFERROR(__xludf.DUMMYFUNCTION("IMPORTRANGE(""https://docs.google.com/spreadsheets/d/1-uDff_7J0KD5mKrp0Vvzr7lt3OU09vwQwhkpOPPYv2Y/edit?usp=sharing"",""งบพรบ!DR45"")"),0)</f>
        <v>0</v>
      </c>
      <c r="M290" s="425">
        <f ca="1">IFERROR(__xludf.DUMMYFUNCTION("IMPORTRANGE(""https://docs.google.com/spreadsheets/d/1-uDff_7J0KD5mKrp0Vvzr7lt3OU09vwQwhkpOPPYv2Y/edit?usp=sharing"",""งบพรบ!DU45"")"),0)</f>
        <v>0</v>
      </c>
      <c r="N290" s="425">
        <f ca="1">IFERROR(__xludf.DUMMYFUNCTION("IMPORTRANGE(""https://docs.google.com/spreadsheets/d/1-uDff_7J0KD5mKrp0Vvzr7lt3OU09vwQwhkpOPPYv2Y/edit?usp=sharing"",""งบพรบ!DW45"")"),0)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IFERROR(__xludf.DUMMYFUNCTION("IMPORTRANGE(""https://docs.google.com/spreadsheets/d/1eHaY18a8A9IcSdp1K8H6x8fbOy06t2VsZHhMHf-1x7Y/edit?usp=sharing"",""แผน!EE45"")"),300)</f>
        <v>300</v>
      </c>
      <c r="J292" s="595">
        <v>0</v>
      </c>
      <c r="K292" s="621">
        <f ca="1">IF(I292&gt;0,J292*100/I292,0)</f>
        <v>0</v>
      </c>
      <c r="L292" s="525"/>
      <c r="M292" s="525"/>
      <c r="N292" s="525"/>
      <c r="O292" s="525"/>
      <c r="P292" s="525"/>
    </row>
    <row r="293" spans="1:16" ht="19.5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IFERROR(__xludf.DUMMYFUNCTION("IMPORTRANGE(""https://docs.google.com/spreadsheets/d/1eHaY18a8A9IcSdp1K8H6x8fbOy06t2VsZHhMHf-1x7Y/edit?usp=sharing"",""แผน!ED45"")"),30)</f>
        <v>30</v>
      </c>
      <c r="J293" s="625">
        <f>J296</f>
        <v>0</v>
      </c>
      <c r="K293" s="624">
        <f ca="1">IF(I293&gt;0,J293*100/I293,0)</f>
        <v>0</v>
      </c>
      <c r="L293" s="525"/>
      <c r="M293" s="525"/>
      <c r="N293" s="525"/>
      <c r="O293" s="525"/>
      <c r="P293" s="525"/>
    </row>
    <row r="294" spans="1:16" ht="19.5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IFERROR(__xludf.DUMMYFUNCTION("IMPORTRANGE(""https://docs.google.com/spreadsheets/d/1eHaY18a8A9IcSdp1K8H6x8fbOy06t2VsZHhMHf-1x7Y/edit?usp=sharing"",""แผน!ED45"")"),30)</f>
        <v>30</v>
      </c>
      <c r="J295" s="595">
        <v>0</v>
      </c>
      <c r="K295" s="621">
        <f ca="1">IF(I295&gt;0,J295*100/I295,0)</f>
        <v>0</v>
      </c>
      <c r="L295" s="525"/>
      <c r="M295" s="525"/>
      <c r="N295" s="525"/>
      <c r="O295" s="525"/>
      <c r="P295" s="525"/>
    </row>
    <row r="296" spans="1:16" ht="19.5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IFERROR(__xludf.DUMMYFUNCTION("IMPORTRANGE(""https://docs.google.com/spreadsheets/d/1eHaY18a8A9IcSdp1K8H6x8fbOy06t2VsZHhMHf-1x7Y/edit?usp=sharing"",""แผน!ED45"")"),30)</f>
        <v>30</v>
      </c>
      <c r="J296" s="595">
        <v>0</v>
      </c>
      <c r="K296" s="621">
        <f ca="1">IF(I296&gt;0,J296*100/I296,0)</f>
        <v>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20</v>
      </c>
      <c r="J302" s="598">
        <f>J314</f>
        <v>0</v>
      </c>
      <c r="K302" s="597">
        <f ca="1">IF(I302&gt;0,J302*100/I302,0)</f>
        <v>0</v>
      </c>
      <c r="L302" s="580"/>
      <c r="M302" s="580"/>
      <c r="N302" s="580"/>
      <c r="O302" s="580"/>
      <c r="P302" s="580"/>
    </row>
    <row r="303" spans="1:16" ht="19.5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133500</v>
      </c>
      <c r="M303" s="577">
        <f ca="1">M304+M305</f>
        <v>100900</v>
      </c>
      <c r="N303" s="577">
        <f ca="1">N304+N305</f>
        <v>18000</v>
      </c>
      <c r="O303" s="577">
        <f ca="1">IF(L303&gt;0,N303*100/L303,0)</f>
        <v>13.48314606741573</v>
      </c>
      <c r="P303" s="577">
        <f ca="1">IF(M303&gt;0,N303*100/M303,0)</f>
        <v>17.839444995044598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133500</v>
      </c>
      <c r="M305" s="425">
        <f ca="1">M308+M311</f>
        <v>100900</v>
      </c>
      <c r="N305" s="425">
        <f ca="1">N308+N311</f>
        <v>18000</v>
      </c>
      <c r="O305" s="425">
        <f ca="1">IF(L305&gt;0,N305*100/L305,0)</f>
        <v>13.48314606741573</v>
      </c>
      <c r="P305" s="425">
        <f ca="1">IF(M305&gt;0,N305*100/M305,0)</f>
        <v>17.839444995044598</v>
      </c>
    </row>
    <row r="306" spans="1:16" ht="18.75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133500</v>
      </c>
      <c r="M306" s="425">
        <f ca="1">M307+M308</f>
        <v>100900</v>
      </c>
      <c r="N306" s="425">
        <f ca="1">N307+N308</f>
        <v>18000</v>
      </c>
      <c r="O306" s="425">
        <f ca="1">IF(L306&gt;0,N306*100/L306,0)</f>
        <v>13.48314606741573</v>
      </c>
      <c r="P306" s="425">
        <f ca="1">IF(M306&gt;0,N306*100/M306,0)</f>
        <v>17.839444995044598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IFERROR(__xludf.DUMMYFUNCTION("IMPORTRANGE(""https://docs.google.com/spreadsheets/d/1-uDff_7J0KD5mKrp0Vvzr7lt3OU09vwQwhkpOPPYv2Y/edit?usp=sharing"",""งบพรบ!DY45"")"),133500)</f>
        <v>133500</v>
      </c>
      <c r="M308" s="425">
        <f ca="1">IFERROR(__xludf.DUMMYFUNCTION("IMPORTRANGE(""https://docs.google.com/spreadsheets/d/1-uDff_7J0KD5mKrp0Vvzr7lt3OU09vwQwhkpOPPYv2Y/edit?usp=sharing"",""งบพรบ!ED45"")"),100900)</f>
        <v>100900</v>
      </c>
      <c r="N308" s="425">
        <f ca="1">IFERROR(__xludf.DUMMYFUNCTION("IMPORTRANGE(""https://docs.google.com/spreadsheets/d/1-uDff_7J0KD5mKrp0Vvzr7lt3OU09vwQwhkpOPPYv2Y/edit?usp=sharing"",""งบพรบ!EF45"")"),18000)</f>
        <v>18000</v>
      </c>
      <c r="O308" s="425">
        <f ca="1">IF(L308&gt;0,N308*100/L308,0)</f>
        <v>13.48314606741573</v>
      </c>
      <c r="P308" s="425">
        <f ca="1">IF(M308&gt;0,N308*100/M308,0)</f>
        <v>17.839444995044598</v>
      </c>
    </row>
    <row r="309" spans="1:16" ht="18.75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IFERROR(__xludf.DUMMYFUNCTION("IMPORTRANGE(""https://docs.google.com/spreadsheets/d/1-uDff_7J0KD5mKrp0Vvzr7lt3OU09vwQwhkpOPPYv2Y/edit?usp=sharing"",""งบพรบ!EB45"")"),0)</f>
        <v>0</v>
      </c>
      <c r="M311" s="425">
        <f ca="1">IFERROR(__xludf.DUMMYFUNCTION("IMPORTRANGE(""https://docs.google.com/spreadsheets/d/1-uDff_7J0KD5mKrp0Vvzr7lt3OU09vwQwhkpOPPYv2Y/edit?usp=sharing"",""งบพรบ!EE45"")"),0)</f>
        <v>0</v>
      </c>
      <c r="N311" s="425">
        <f ca="1">IFERROR(__xludf.DUMMYFUNCTION("IMPORTRANGE(""https://docs.google.com/spreadsheets/d/1-uDff_7J0KD5mKrp0Vvzr7lt3OU09vwQwhkpOPPYv2Y/edit?usp=sharing"",""งบพรบ!EG45"")"),0)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0</v>
      </c>
      <c r="K313" s="428"/>
      <c r="L313" s="428"/>
      <c r="M313" s="428"/>
      <c r="N313" s="428"/>
      <c r="O313" s="428"/>
      <c r="P313" s="428"/>
    </row>
    <row r="314" spans="1:16" ht="18.75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IFERROR(__xludf.DUMMYFUNCTION("IMPORTRANGE(""https://docs.google.com/spreadsheets/d/1eHaY18a8A9IcSdp1K8H6x8fbOy06t2VsZHhMHf-1x7Y/edit?usp=sharing"",""แผน!EF45"")"),20)</f>
        <v>20</v>
      </c>
      <c r="J314" s="595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IFERROR(__xludf.DUMMYFUNCTION("IMPORTRANGE(""https://docs.google.com/spreadsheets/d/1eHaY18a8A9IcSdp1K8H6x8fbOy06t2VsZHhMHf-1x7Y/edit?usp=sharing"",""แผน!EG45"")"),4)</f>
        <v>4</v>
      </c>
      <c r="J315" s="595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IFERROR(__xludf.DUMMYFUNCTION("IMPORTRANGE(""https://docs.google.com/spreadsheets/d/1eHaY18a8A9IcSdp1K8H6x8fbOy06t2VsZHhMHf-1x7Y/edit?usp=sharing"",""แผน!EH45"")"),20)</f>
        <v>20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424">
        <f ca="1">IFERROR(__xludf.DUMMYFUNCTION("IMPORTRANGE(""https://docs.google.com/spreadsheets/d/1eHaY18a8A9IcSdp1K8H6x8fbOy06t2VsZHhMHf-1x7Y/edit?usp=sharing"",""แผน!EI45"")"),4)</f>
        <v>4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hidden="1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0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hidden="1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0</v>
      </c>
      <c r="M320" s="577">
        <f ca="1">M321+M322</f>
        <v>0</v>
      </c>
      <c r="N320" s="577">
        <f ca="1">N321+N322</f>
        <v>0</v>
      </c>
      <c r="O320" s="577">
        <f ca="1">IF(L320&gt;0,N320*100/L320,0)</f>
        <v>0</v>
      </c>
      <c r="P320" s="577">
        <f ca="1">IF(M320&gt;0,N320*100/M320,0)</f>
        <v>0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hidden="1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hidden="1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IFERROR(__xludf.DUMMYFUNCTION("IMPORTRANGE(""https://docs.google.com/spreadsheets/d/1-uDff_7J0KD5mKrp0Vvzr7lt3OU09vwQwhkpOPPYv2Y/edit?usp=sharing"",""งบพรบ!EI45"")"),0)</f>
        <v>0</v>
      </c>
      <c r="M325" s="425">
        <f ca="1">IFERROR(__xludf.DUMMYFUNCTION("IMPORTRANGE(""https://docs.google.com/spreadsheets/d/1-uDff_7J0KD5mKrp0Vvzr7lt3OU09vwQwhkpOPPYv2Y/edit?usp=sharing"",""งบพรบ!EN45"")"),0)</f>
        <v>0</v>
      </c>
      <c r="N325" s="425">
        <f ca="1">IFERROR(__xludf.DUMMYFUNCTION("IMPORTRANGE(""https://docs.google.com/spreadsheets/d/1-uDff_7J0KD5mKrp0Vvzr7lt3OU09vwQwhkpOPPYv2Y/edit?usp=sharing"",""งบพรบ!EP45"")"),0)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hidden="1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IFERROR(__xludf.DUMMYFUNCTION("IMPORTRANGE(""https://docs.google.com/spreadsheets/d/1-uDff_7J0KD5mKrp0Vvzr7lt3OU09vwQwhkpOPPYv2Y/edit?usp=sharing"",""งบพรบ!EL45"")"),0)</f>
        <v>0</v>
      </c>
      <c r="M328" s="425">
        <f ca="1">IFERROR(__xludf.DUMMYFUNCTION("IMPORTRANGE(""https://docs.google.com/spreadsheets/d/1-uDff_7J0KD5mKrp0Vvzr7lt3OU09vwQwhkpOPPYv2Y/edit?usp=sharing"",""งบพรบ!EO45"")"),0)</f>
        <v>0</v>
      </c>
      <c r="N328" s="425">
        <f ca="1">IFERROR(__xludf.DUMMYFUNCTION("IMPORTRANGE(""https://docs.google.com/spreadsheets/d/1-uDff_7J0KD5mKrp0Vvzr7lt3OU09vwQwhkpOPPYv2Y/edit?usp=sharing"",""งบพรบ!EQ45"")"),0)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hidden="1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IFERROR(__xludf.DUMMYFUNCTION("IMPORTRANGE(""https://docs.google.com/spreadsheets/d/1eHaY18a8A9IcSdp1K8H6x8fbOy06t2VsZHhMHf-1x7Y/edit?usp=sharing"",""แผน!EJ45"")"),0)</f>
        <v>0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2000</v>
      </c>
      <c r="J332" s="402">
        <f ca="1">J344+J347+J348+J349+J353</f>
        <v>3021</v>
      </c>
      <c r="K332" s="403">
        <f ca="1">IF(I332&gt;0,J332*100/I332,0)</f>
        <v>151.05000000000001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112000</v>
      </c>
      <c r="M333" s="577">
        <f ca="1">M334+M335</f>
        <v>87750</v>
      </c>
      <c r="N333" s="577">
        <f ca="1">N334+N335</f>
        <v>2800</v>
      </c>
      <c r="O333" s="577">
        <f ca="1">IF(L333&gt;0,N333*100/L333,0)</f>
        <v>2.5</v>
      </c>
      <c r="P333" s="577">
        <f ca="1">IF(M333&gt;0,N333*100/M333,0)</f>
        <v>3.1908831908831909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112000</v>
      </c>
      <c r="M335" s="425">
        <f ca="1">M338+M341</f>
        <v>87750</v>
      </c>
      <c r="N335" s="425">
        <f ca="1">N338+N341</f>
        <v>2800</v>
      </c>
      <c r="O335" s="425">
        <f ca="1">IF(L335&gt;0,N335*100/L335,0)</f>
        <v>2.5</v>
      </c>
      <c r="P335" s="425">
        <f ca="1">IF(M335&gt;0,N335*100/M335,0)</f>
        <v>3.1908831908831909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112000</v>
      </c>
      <c r="M336" s="425">
        <f ca="1">M337+M338</f>
        <v>87750</v>
      </c>
      <c r="N336" s="425">
        <f ca="1">N337+N338</f>
        <v>2800</v>
      </c>
      <c r="O336" s="425">
        <f ca="1">IF(L336&gt;0,N336*100/L336,0)</f>
        <v>2.5</v>
      </c>
      <c r="P336" s="425">
        <f ca="1">IF(M336&gt;0,N336*100/M336,0)</f>
        <v>3.1908831908831909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IFERROR(__xludf.DUMMYFUNCTION("IMPORTRANGE(""https://docs.google.com/spreadsheets/d/1-uDff_7J0KD5mKrp0Vvzr7lt3OU09vwQwhkpOPPYv2Y/edit?usp=sharing"",""งบพรบ!ES45"")"),112000)</f>
        <v>112000</v>
      </c>
      <c r="M338" s="425">
        <f ca="1">IFERROR(__xludf.DUMMYFUNCTION("IMPORTRANGE(""https://docs.google.com/spreadsheets/d/1-uDff_7J0KD5mKrp0Vvzr7lt3OU09vwQwhkpOPPYv2Y/edit?usp=sharing"",""งบพรบ!EX45"")"),87750)</f>
        <v>87750</v>
      </c>
      <c r="N338" s="425">
        <f ca="1">IFERROR(__xludf.DUMMYFUNCTION("IMPORTRANGE(""https://docs.google.com/spreadsheets/d/1-uDff_7J0KD5mKrp0Vvzr7lt3OU09vwQwhkpOPPYv2Y/edit?usp=sharing"",""งบพรบ!EZ45"")"),2800)</f>
        <v>2800</v>
      </c>
      <c r="O338" s="425">
        <f ca="1">IF(L338&gt;0,N338*100/L338,0)</f>
        <v>2.5</v>
      </c>
      <c r="P338" s="425">
        <f ca="1">IF(M338&gt;0,N338*100/M338,0)</f>
        <v>3.1908831908831909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IFERROR(__xludf.DUMMYFUNCTION("IMPORTRANGE(""https://docs.google.com/spreadsheets/d/1-uDff_7J0KD5mKrp0Vvzr7lt3OU09vwQwhkpOPPYv2Y/edit?usp=sharing"",""งบพรบ!EV45"")"),0)</f>
        <v>0</v>
      </c>
      <c r="M341" s="425">
        <f ca="1">IFERROR(__xludf.DUMMYFUNCTION("IMPORTRANGE(""https://docs.google.com/spreadsheets/d/1-uDff_7J0KD5mKrp0Vvzr7lt3OU09vwQwhkpOPPYv2Y/edit?usp=sharing"",""งบพรบ!EY45"")"),0)</f>
        <v>0</v>
      </c>
      <c r="N341" s="425">
        <f ca="1">IFERROR(__xludf.DUMMYFUNCTION("IMPORTRANGE(""https://docs.google.com/spreadsheets/d/1-uDff_7J0KD5mKrp0Vvzr7lt3OU09vwQwhkpOPPYv2Y/edit?usp=sharing"",""งบพรบ!FA45"")"),0)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1713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IFERROR(__xludf.DUMMYFUNCTION("IMPORTRANGE(""https://docs.google.com/spreadsheets/d/1eHaY18a8A9IcSdp1K8H6x8fbOy06t2VsZHhMHf-1x7Y/edit?usp=sharing"",""แผน!EK45"")"),2000)</f>
        <v>2000</v>
      </c>
      <c r="J344" s="424">
        <f ca="1">IFERROR(__xludf.DUMMYFUNCTION("IMPORTRANGE(""https://docs.google.com/spreadsheets/d/1awYsYK3VOup2i3Pq_Yjnu8DRu_mYwSBnCR2QPthd0rU/edit?usp=sharing"",""ศูนย์ยกเว้นโฉนด!D45"")"),1509)</f>
        <v>1509</v>
      </c>
      <c r="K344" s="425">
        <f ca="1">IF(I344&gt;0,J344*100/I344,0)</f>
        <v>75.45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IFERROR(__xludf.DUMMYFUNCTION("IMPORTRANGE(""https://docs.google.com/spreadsheets/d/1eHaY18a8A9IcSdp1K8H6x8fbOy06t2VsZHhMHf-1x7Y/edit?usp=sharing"",""แผน!EL45"")"),6)</f>
        <v>6</v>
      </c>
      <c r="J346" s="424">
        <f ca="1">IFERROR(__xludf.DUMMYFUNCTION("IMPORTRANGE(""https://docs.google.com/spreadsheets/d/1awYsYK3VOup2i3Pq_Yjnu8DRu_mYwSBnCR2QPthd0rU/edit?usp=sharing"",""ศูนย์รวม!E45"")"),2)</f>
        <v>2</v>
      </c>
      <c r="K346" s="425">
        <f ca="1">IF(I346&gt;0,J346*100/I346,0)</f>
        <v>33.333333333333336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IFERROR(__xludf.DUMMYFUNCTION("IMPORTRANGE(""https://docs.google.com/spreadsheets/d/1awYsYK3VOup2i3Pq_Yjnu8DRu_mYwSBnCR2QPthd0rU/edit?usp=sharing"",""ศูนย์ยกเว้นโฉนด!F45"")"),204)</f>
        <v>204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IFERROR(__xludf.DUMMYFUNCTION("IMPORTRANGE(""https://docs.google.com/spreadsheets/d/1awYsYK3VOup2i3Pq_Yjnu8DRu_mYwSBnCR2QPthd0rU/edit?usp=sharing"",""ศูนย์ยกเว้นโฉนด!G45"")"),0)</f>
        <v>0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IFERROR(__xludf.DUMMYFUNCTION("IMPORTRANGE(""https://docs.google.com/spreadsheets/d/1awYsYK3VOup2i3Pq_Yjnu8DRu_mYwSBnCR2QPthd0rU/edit?usp=sharing"",""ศูนย์ยกเว้นโฉนด!H45"")"),0)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2217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IFERROR(__xludf.DUMMYFUNCTION("IMPORTRANGE(""https://docs.google.com/spreadsheets/d/1awYsYK3VOup2i3Pq_Yjnu8DRu_mYwSBnCR2QPthd0rU/edit?usp=sharing"",""โฉนดM3!G45"")"),909)</f>
        <v>909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IFERROR(__xludf.DUMMYFUNCTION("IMPORTRANGE(""https://docs.google.com/spreadsheets/d/1awYsYK3VOup2i3Pq_Yjnu8DRu_mYwSBnCR2QPthd0rU/edit?usp=sharing"",""โฉนดM3!H45"")"),1308)</f>
        <v>1308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812710</v>
      </c>
      <c r="M356" s="577">
        <f ca="1">M357+M358</f>
        <v>703710</v>
      </c>
      <c r="N356" s="577">
        <f ca="1">N357+N358</f>
        <v>422214.68</v>
      </c>
      <c r="O356" s="577">
        <f ca="1">IF(L356&gt;0,N356*100/L356,0)</f>
        <v>51.951456239002844</v>
      </c>
      <c r="P356" s="577">
        <f ca="1">IF(M356&gt;0,N356*100/M356,0)</f>
        <v>59.998391382813942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812710</v>
      </c>
      <c r="M358" s="425">
        <f ca="1">M361+M364</f>
        <v>703710</v>
      </c>
      <c r="N358" s="425">
        <f ca="1">N361+N364</f>
        <v>422214.68</v>
      </c>
      <c r="O358" s="425">
        <f ca="1">IF(L358&gt;0,N358*100/L358,0)</f>
        <v>51.951456239002844</v>
      </c>
      <c r="P358" s="425">
        <f ca="1">IF(M358&gt;0,N358*100/M358,0)</f>
        <v>59.998391382813942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812710</v>
      </c>
      <c r="M359" s="425">
        <f ca="1">M360+M361</f>
        <v>703710</v>
      </c>
      <c r="N359" s="425">
        <f ca="1">N360+N361</f>
        <v>422214.68</v>
      </c>
      <c r="O359" s="425">
        <f ca="1">IF(L359&gt;0,N359*100/L359,0)</f>
        <v>51.951456239002844</v>
      </c>
      <c r="P359" s="425">
        <f ca="1">IF(M359&gt;0,N359*100/M359,0)</f>
        <v>59.998391382813942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IFERROR(__xludf.DUMMYFUNCTION("IMPORTRANGE(""https://docs.google.com/spreadsheets/d/1-uDff_7J0KD5mKrp0Vvzr7lt3OU09vwQwhkpOPPYv2Y/edit?usp=sharing"",""งบพรบ!FC45"")"),812710)</f>
        <v>812710</v>
      </c>
      <c r="M361" s="425">
        <f ca="1">IFERROR(__xludf.DUMMYFUNCTION("IMPORTRANGE(""https://docs.google.com/spreadsheets/d/1-uDff_7J0KD5mKrp0Vvzr7lt3OU09vwQwhkpOPPYv2Y/edit?usp=sharing"",""งบพรบ!FH45"")"),703710)</f>
        <v>703710</v>
      </c>
      <c r="N361" s="425">
        <f ca="1">IFERROR(__xludf.DUMMYFUNCTION("IMPORTRANGE(""https://docs.google.com/spreadsheets/d/1-uDff_7J0KD5mKrp0Vvzr7lt3OU09vwQwhkpOPPYv2Y/edit?usp=sharing"",""งบพรบ!FJ45"")"),422214.68)</f>
        <v>422214.68</v>
      </c>
      <c r="O361" s="425">
        <f ca="1">IF(L361&gt;0,N361*100/L361,0)</f>
        <v>51.951456239002844</v>
      </c>
      <c r="P361" s="425">
        <f ca="1">IF(M361&gt;0,N361*100/M361,0)</f>
        <v>59.998391382813942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IFERROR(__xludf.DUMMYFUNCTION("IMPORTRANGE(""https://docs.google.com/spreadsheets/d/1-uDff_7J0KD5mKrp0Vvzr7lt3OU09vwQwhkpOPPYv2Y/edit?usp=sharing"",""งบพรบ!FF45"")"),0)</f>
        <v>0</v>
      </c>
      <c r="M364" s="425">
        <f ca="1">IFERROR(__xludf.DUMMYFUNCTION("IMPORTRANGE(""https://docs.google.com/spreadsheets/d/1-uDff_7J0KD5mKrp0Vvzr7lt3OU09vwQwhkpOPPYv2Y/edit?usp=sharing"",""งบพรบ!FI45"")"),0)</f>
        <v>0</v>
      </c>
      <c r="N364" s="425">
        <f ca="1">IFERROR(__xludf.DUMMYFUNCTION("IMPORTRANGE(""https://docs.google.com/spreadsheets/d/1-uDff_7J0KD5mKrp0Vvzr7lt3OU09vwQwhkpOPPYv2Y/edit?usp=sharing"",""งบพรบ!FK45"")"),0)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437</v>
      </c>
      <c r="J365" s="438">
        <f ca="1">J371</f>
        <v>80</v>
      </c>
      <c r="K365" s="439">
        <f ca="1">IF(I365&gt;0,J365*100/I365,0)</f>
        <v>18.306636155606409</v>
      </c>
      <c r="L365" s="571"/>
      <c r="M365" s="571"/>
      <c r="N365" s="571"/>
      <c r="O365" s="571"/>
      <c r="P365" s="571"/>
    </row>
    <row r="366" spans="1:16" ht="19.5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IFERROR(__xludf.DUMMYFUNCTION("IMPORTRANGE(""https://docs.google.com/spreadsheets/d/1tdoBKaGub7dwA3U6UFTqxio9LNnvDCQjHKmttSEBsFQ/edit?usp=sharing"",""จัดที่ดิน!AB45"")"),258)</f>
        <v>258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IFERROR(__xludf.DUMMYFUNCTION("IMPORTRANGE(""https://docs.google.com/spreadsheets/d/1eHaY18a8A9IcSdp1K8H6x8fbOy06t2VsZHhMHf-1x7Y/edit?usp=sharing"",""แผน!EW45"")"),3875)</f>
        <v>3875</v>
      </c>
      <c r="J368" s="565">
        <f ca="1">IFERROR(__xludf.DUMMYFUNCTION("IMPORTRANGE(""https://docs.google.com/spreadsheets/d/1tdoBKaGub7dwA3U6UFTqxio9LNnvDCQjHKmttSEBsFQ/edit?usp=sharing"",""จัดที่ดิน!AC45"")"),1789.18)</f>
        <v>1789.18</v>
      </c>
      <c r="K368" s="425">
        <f ca="1">IF(I368&gt;0,J368*100/I368,0)</f>
        <v>46.172387096774195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IFERROR(__xludf.DUMMYFUNCTION("IMPORTRANGE(""https://docs.google.com/spreadsheets/d/1eHaY18a8A9IcSdp1K8H6x8fbOy06t2VsZHhMHf-1x7Y/edit?usp=sharing"",""แผน!EX45"")"),663)</f>
        <v>663</v>
      </c>
      <c r="J369" s="424">
        <f ca="1">IFERROR(__xludf.DUMMYFUNCTION("IMPORTRANGE(""https://docs.google.com/spreadsheets/d/1tdoBKaGub7dwA3U6UFTqxio9LNnvDCQjHKmttSEBsFQ/edit?usp=sharing"",""จัดที่ดิน!AD45"")"),617)</f>
        <v>617</v>
      </c>
      <c r="K369" s="425">
        <f ca="1">IF(I369&gt;0,J369*100/I369,0)</f>
        <v>93.061840120663646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IFERROR(__xludf.DUMMYFUNCTION("IMPORTRANGE(""https://docs.google.com/spreadsheets/d/1tdoBKaGub7dwA3U6UFTqxio9LNnvDCQjHKmttSEBsFQ/edit?usp=sharing"",""จัดที่ดิน!AE45"")"),6507.37)</f>
        <v>6507.37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IFERROR(__xludf.DUMMYFUNCTION("IMPORTRANGE(""https://docs.google.com/spreadsheets/d/1eHaY18a8A9IcSdp1K8H6x8fbOy06t2VsZHhMHf-1x7Y/edit?usp=sharing"",""แผน!EY45"")"),437)</f>
        <v>437</v>
      </c>
      <c r="J371" s="424">
        <f ca="1">IFERROR(__xludf.DUMMYFUNCTION("IMPORTRANGE(""https://docs.google.com/spreadsheets/d/1tdoBKaGub7dwA3U6UFTqxio9LNnvDCQjHKmttSEBsFQ/edit?usp=sharing"",""จัดที่ดิน!AF45"")"),80)</f>
        <v>80</v>
      </c>
      <c r="K371" s="425">
        <f ca="1">IF(I371&gt;0,J371*100/I371,0)</f>
        <v>18.306636155606409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IFERROR(__xludf.DUMMYFUNCTION("IMPORTRANGE(""https://docs.google.com/spreadsheets/d/1tdoBKaGub7dwA3U6UFTqxio9LNnvDCQjHKmttSEBsFQ/edit?usp=sharing"",""จัดที่ดิน!AG45"")"),977.2)</f>
        <v>977.2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IFERROR(__xludf.DUMMYFUNCTION("IMPORTRANGE(""https://docs.google.com/spreadsheets/d/1-uDff_7J0KD5mKrp0Vvzr7lt3OU09vwQwhkpOPPYv2Y/edit?usp=sharing"",""งบพรบ!FM45"")"),0)</f>
        <v>0</v>
      </c>
      <c r="M382" s="521">
        <f ca="1">IFERROR(__xludf.DUMMYFUNCTION("IMPORTRANGE(""https://docs.google.com/spreadsheets/d/1-uDff_7J0KD5mKrp0Vvzr7lt3OU09vwQwhkpOPPYv2Y/edit?usp=sharing"",""งบพรบ!FR45"")"),0)</f>
        <v>0</v>
      </c>
      <c r="N382" s="521">
        <f ca="1">IFERROR(__xludf.DUMMYFUNCTION("IMPORTRANGE(""https://docs.google.com/spreadsheets/d/1-uDff_7J0KD5mKrp0Vvzr7lt3OU09vwQwhkpOPPYv2Y/edit?usp=sharing"",""งบพรบ!FT45"")"),0)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IFERROR(__xludf.DUMMYFUNCTION("IMPORTRANGE(""https://docs.google.com/spreadsheets/d/1-uDff_7J0KD5mKrp0Vvzr7lt3OU09vwQwhkpOPPYv2Y/edit?usp=sharing"",""งบพรบ!FP45"")"),0)</f>
        <v>0</v>
      </c>
      <c r="M385" s="521">
        <f ca="1">IFERROR(__xludf.DUMMYFUNCTION("IMPORTRANGE(""https://docs.google.com/spreadsheets/d/1-uDff_7J0KD5mKrp0Vvzr7lt3OU09vwQwhkpOPPYv2Y/edit?usp=sharing"",""งบพรบ!FS45"")"),0)</f>
        <v>0</v>
      </c>
      <c r="N385" s="521">
        <f ca="1">IFERROR(__xludf.DUMMYFUNCTION("IMPORTRANGE(""https://docs.google.com/spreadsheets/d/1-uDff_7J0KD5mKrp0Vvzr7lt3OU09vwQwhkpOPPYv2Y/edit?usp=sharing"",""งบพรบ!FU45"")"),0)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AF625-6C06-450A-B63B-75A331549672}">
  <sheetPr>
    <outlinePr summaryBelow="0" summaryRight="0"/>
    <pageSetUpPr fitToPage="1"/>
  </sheetPr>
  <dimension ref="A1:P391"/>
  <sheetViews>
    <sheetView view="pageBreakPreview" zoomScale="60" zoomScaleNormal="70" workbookViewId="0">
      <pane xSplit="8" ySplit="17" topLeftCell="I18" activePane="bottomRight" state="frozen"/>
      <selection activeCell="H27" sqref="H27"/>
      <selection pane="topRight" activeCell="H27" sqref="H27"/>
      <selection pane="bottomLeft" activeCell="H27" sqref="H27"/>
      <selection pane="bottomRight" activeCell="H27" sqref="H27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2.5703125" bestFit="1" customWidth="1"/>
    <col min="11" max="11" width="10.8554687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869" t="s">
        <v>0</v>
      </c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  <c r="O1" s="869"/>
      <c r="P1" s="869"/>
    </row>
    <row r="2" spans="1:16" ht="19.5" x14ac:dyDescent="0.3">
      <c r="A2" s="869" t="s">
        <v>175</v>
      </c>
      <c r="B2" s="869"/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  <c r="P2" s="869"/>
    </row>
    <row r="3" spans="1:16" ht="19.5" x14ac:dyDescent="0.3">
      <c r="A3" s="869"/>
      <c r="B3" s="869"/>
      <c r="C3" s="869"/>
      <c r="D3" s="869"/>
      <c r="E3" s="869"/>
      <c r="F3" s="869"/>
      <c r="G3" s="869"/>
      <c r="H3" s="869"/>
      <c r="I3" s="869"/>
      <c r="J3" s="869"/>
      <c r="K3" s="869"/>
      <c r="L3" s="869"/>
      <c r="M3" s="869"/>
      <c r="N3" s="869"/>
      <c r="O3" s="869"/>
      <c r="P3" s="869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5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493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2298866</v>
      </c>
      <c r="M18" s="704">
        <f ca="1">M19+M20</f>
        <v>1877513</v>
      </c>
      <c r="N18" s="704">
        <f ca="1">N19+N20</f>
        <v>739173.01</v>
      </c>
      <c r="O18" s="704">
        <f ca="1">IF(L18&gt;0,N18*100/L18,0)</f>
        <v>32.153810182933675</v>
      </c>
      <c r="P18" s="704">
        <f ca="1">IF(M18&gt;0,N18*100/M18,0)</f>
        <v>39.369794510077959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2298866</v>
      </c>
      <c r="M20" s="817">
        <f ca="1">M23+M26</f>
        <v>1877513</v>
      </c>
      <c r="N20" s="817">
        <f ca="1">N23+N26</f>
        <v>739173.01</v>
      </c>
      <c r="O20" s="817">
        <f ca="1">IF(L20&gt;0,N20*100/L20,0)</f>
        <v>32.153810182933675</v>
      </c>
      <c r="P20" s="817">
        <f ca="1">IF(M20&gt;0,N20*100/M20,0)</f>
        <v>39.369794510077959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2298866</v>
      </c>
      <c r="M21" s="425">
        <f ca="1">M22+M23</f>
        <v>1877513</v>
      </c>
      <c r="N21" s="425">
        <f ca="1">N22+N23</f>
        <v>739173.01</v>
      </c>
      <c r="O21" s="425">
        <f ca="1">IF(L21&gt;0,N21*100/L21,0)</f>
        <v>32.153810182933675</v>
      </c>
      <c r="P21" s="425">
        <f ca="1">IF(M21&gt;0,N21*100/M21,0)</f>
        <v>39.369794510077959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2298866</v>
      </c>
      <c r="M23" s="425">
        <f ca="1">M49+M64+M77+M99+M130+M144+M162+M191+M178+M271+M287+M308+M325+M338+M361+M382</f>
        <v>1877513</v>
      </c>
      <c r="N23" s="425">
        <f ca="1">N49+N64+N77+N99+N130+N144+N162+N191+N178+N271+N287+N308+N325+N338+N361+N382</f>
        <v>739173.01</v>
      </c>
      <c r="O23" s="425">
        <f ca="1">IF(L23&gt;0,N23*100/L23,0)</f>
        <v>32.153810182933675</v>
      </c>
      <c r="P23" s="425">
        <f ca="1">IF(M23&gt;0,N23*100/M23,0)</f>
        <v>39.369794510077959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2.75" hidden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2298866</v>
      </c>
      <c r="M40" s="809">
        <f ca="1">M44+M59+M72+M94+M125+M139+M157+M173+M186+M266+M282+M303+M320+M333+M356</f>
        <v>1877513</v>
      </c>
      <c r="N40" s="809">
        <f ca="1">N44+N59+N72+N94+N125+N139+N157+N173+N186+N266+N282+N303+N320+N333+N356</f>
        <v>739173.01</v>
      </c>
      <c r="O40" s="809">
        <f ca="1">IF(L40&gt;0,N40*100/L40,0)</f>
        <v>32.153810182933675</v>
      </c>
      <c r="P40" s="809">
        <f ca="1">IF(M40&gt;0,N40*100/M40,0)</f>
        <v>39.369794510077959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294516</v>
      </c>
      <c r="M44" s="794">
        <f ca="1">M45+M46</f>
        <v>303603</v>
      </c>
      <c r="N44" s="794">
        <f ca="1">N45+N46</f>
        <v>144748.66</v>
      </c>
      <c r="O44" s="794">
        <f ca="1">IF(L44&gt;0,N44*100/L44,0)</f>
        <v>49.147978378084723</v>
      </c>
      <c r="P44" s="794">
        <f ca="1">IF(M44&gt;0,N44*100/M44,0)</f>
        <v>47.676953126286634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294516</v>
      </c>
      <c r="M46" s="783">
        <f ca="1">M49+M52</f>
        <v>303603</v>
      </c>
      <c r="N46" s="783">
        <f ca="1">N49+N52</f>
        <v>144748.66</v>
      </c>
      <c r="O46" s="783">
        <f ca="1">IF(L46&gt;0,N46*100/L46,0)</f>
        <v>49.147978378084723</v>
      </c>
      <c r="P46" s="783">
        <f ca="1">IF(M46&gt;0,N46*100/M46,0)</f>
        <v>47.676953126286634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294516</v>
      </c>
      <c r="M47" s="425">
        <f ca="1">M48+M49</f>
        <v>303603</v>
      </c>
      <c r="N47" s="425">
        <f ca="1">N48+N49</f>
        <v>144748.66</v>
      </c>
      <c r="O47" s="425">
        <f ca="1">IF(L47&gt;0,N47*100/L47,0)</f>
        <v>49.147978378084723</v>
      </c>
      <c r="P47" s="425">
        <f ca="1">IF(M47&gt;0,N47*100/M47,0)</f>
        <v>47.676953126286634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IFERROR(__xludf.DUMMYFUNCTION("IMPORTRANGE(""https://docs.google.com/spreadsheets/d/1-uDff_7J0KD5mKrp0Vvzr7lt3OU09vwQwhkpOPPYv2Y/edit?usp=sharing"",""งบพรบ!P46"")"),294516)</f>
        <v>294516</v>
      </c>
      <c r="M49" s="425">
        <f ca="1">IFERROR(__xludf.DUMMYFUNCTION("IMPORTRANGE(""https://docs.google.com/spreadsheets/d/1-uDff_7J0KD5mKrp0Vvzr7lt3OU09vwQwhkpOPPYv2Y/edit?usp=sharing"",""งบพรบ!V46"")"),303603)</f>
        <v>303603</v>
      </c>
      <c r="N49" s="425">
        <f ca="1">IFERROR(__xludf.DUMMYFUNCTION("IMPORTRANGE(""https://docs.google.com/spreadsheets/d/1-uDff_7J0KD5mKrp0Vvzr7lt3OU09vwQwhkpOPPYv2Y/edit?usp=sharing"",""งบพรบ!Y46"")"),144748.66)</f>
        <v>144748.66</v>
      </c>
      <c r="O49" s="425">
        <f ca="1">IF(L49&gt;0,N49*100/L49,0)</f>
        <v>49.147978378084723</v>
      </c>
      <c r="P49" s="425">
        <f ca="1">IF(M49&gt;0,N49*100/M49,0)</f>
        <v>47.676953126286634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IFERROR(__xludf.DUMMYFUNCTION("IMPORTRANGE(""https://docs.google.com/spreadsheets/d/1-uDff_7J0KD5mKrp0Vvzr7lt3OU09vwQwhkpOPPYv2Y/edit?usp=sharing"",""งบพรบ!S46"")"),0)</f>
        <v>0</v>
      </c>
      <c r="M52" s="425">
        <f ca="1">IFERROR(__xludf.DUMMYFUNCTION("IMPORTRANGE(""https://docs.google.com/spreadsheets/d/1-uDff_7J0KD5mKrp0Vvzr7lt3OU09vwQwhkpOPPYv2Y/edit?usp=sharing"",""งบพรบ!W46"")"),0)</f>
        <v>0</v>
      </c>
      <c r="N52" s="425">
        <f ca="1">IFERROR(__xludf.DUMMYFUNCTION("IMPORTRANGE(""https://docs.google.com/spreadsheets/d/1-uDff_7J0KD5mKrp0Vvzr7lt3OU09vwQwhkpOPPYv2Y/edit?usp=sharing"",""งบพรบ!Z46"")"),0)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525800</v>
      </c>
      <c r="M59" s="763">
        <f ca="1">M60+M61</f>
        <v>396450</v>
      </c>
      <c r="N59" s="763">
        <f ca="1">N60+N61</f>
        <v>243076.45</v>
      </c>
      <c r="O59" s="763">
        <f ca="1">IF(L59&gt;0,N59*100/L59,0)</f>
        <v>46.229830734119439</v>
      </c>
      <c r="P59" s="763">
        <f ca="1">IF(M59&gt;0,N59*100/M59,0)</f>
        <v>61.31326775129272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525800</v>
      </c>
      <c r="M61" s="752">
        <f ca="1">M64+M67</f>
        <v>396450</v>
      </c>
      <c r="N61" s="752">
        <f ca="1">N64+N67</f>
        <v>243076.45</v>
      </c>
      <c r="O61" s="752">
        <f ca="1">IF(L61&gt;0,N61*100/L61,0)</f>
        <v>46.229830734119439</v>
      </c>
      <c r="P61" s="752">
        <f ca="1">IF(M61&gt;0,N61*100/M61,0)</f>
        <v>61.31326775129272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525800</v>
      </c>
      <c r="M62" s="425">
        <f ca="1">M63+M64</f>
        <v>396450</v>
      </c>
      <c r="N62" s="425">
        <f ca="1">N63+N64</f>
        <v>243076.45</v>
      </c>
      <c r="O62" s="425">
        <f ca="1">IF(L62&gt;0,N62*100/L62,0)</f>
        <v>46.229830734119439</v>
      </c>
      <c r="P62" s="425">
        <f ca="1">IF(M62&gt;0,N62*100/M62,0)</f>
        <v>61.31326775129272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IFERROR(__xludf.DUMMYFUNCTION("IMPORTRANGE(""https://docs.google.com/spreadsheets/d/1-uDff_7J0KD5mKrp0Vvzr7lt3OU09vwQwhkpOPPYv2Y/edit?usp=sharing"",""งบพรบ!AC46"")"),525800)</f>
        <v>525800</v>
      </c>
      <c r="M64" s="425">
        <f ca="1">IFERROR(__xludf.DUMMYFUNCTION("IMPORTRANGE(""https://docs.google.com/spreadsheets/d/1-uDff_7J0KD5mKrp0Vvzr7lt3OU09vwQwhkpOPPYv2Y/edit?usp=sharing"",""งบพรบ!AH46"")"),396450)</f>
        <v>396450</v>
      </c>
      <c r="N64" s="425">
        <f ca="1">IFERROR(__xludf.DUMMYFUNCTION("IMPORTRANGE(""https://docs.google.com/spreadsheets/d/1-uDff_7J0KD5mKrp0Vvzr7lt3OU09vwQwhkpOPPYv2Y/edit?usp=sharing"",""งบพรบ!AJ46"")"),243076.45)</f>
        <v>243076.45</v>
      </c>
      <c r="O64" s="425">
        <f ca="1">IF(L64&gt;0,N64*100/L64,0)</f>
        <v>46.229830734119439</v>
      </c>
      <c r="P64" s="425">
        <f ca="1">IF(M64&gt;0,N64*100/M64,0)</f>
        <v>61.31326775129272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IFERROR(__xludf.DUMMYFUNCTION("IMPORTRANGE(""https://docs.google.com/spreadsheets/d/1-uDff_7J0KD5mKrp0Vvzr7lt3OU09vwQwhkpOPPYv2Y/edit?usp=sharing"",""งบพรบ!AF46"")"),0)</f>
        <v>0</v>
      </c>
      <c r="M67" s="747">
        <f ca="1">IFERROR(__xludf.DUMMYFUNCTION("IMPORTRANGE(""https://docs.google.com/spreadsheets/d/1-uDff_7J0KD5mKrp0Vvzr7lt3OU09vwQwhkpOPPYv2Y/edit?usp=sharing"",""งบพรบ!AI46"")"),0)</f>
        <v>0</v>
      </c>
      <c r="N67" s="747">
        <f ca="1">IFERROR(__xludf.DUMMYFUNCTION("IMPORTRANGE(""https://docs.google.com/spreadsheets/d/1-uDff_7J0KD5mKrp0Vvzr7lt3OU09vwQwhkpOPPYv2Y/edit?usp=sharing"",""งบพรบ!AK46"")"),0)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19.5" hidden="1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hidden="1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hidden="1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0</v>
      </c>
      <c r="J70" s="705">
        <f>J82</f>
        <v>0</v>
      </c>
      <c r="K70" s="704">
        <f ca="1">IF(I70&gt;0,J70*100/I70,0)</f>
        <v>0</v>
      </c>
      <c r="L70" s="703"/>
      <c r="M70" s="703"/>
      <c r="N70" s="703"/>
      <c r="O70" s="703"/>
      <c r="P70" s="703"/>
    </row>
    <row r="71" spans="1:16" ht="19.5" hidden="1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0</v>
      </c>
      <c r="J71" s="705">
        <f>J83</f>
        <v>0</v>
      </c>
      <c r="K71" s="704">
        <f ca="1">IF(I71&gt;0,J71*100/I71,0)</f>
        <v>0</v>
      </c>
      <c r="L71" s="703"/>
      <c r="M71" s="703"/>
      <c r="N71" s="703"/>
      <c r="O71" s="703"/>
      <c r="P71" s="703"/>
    </row>
    <row r="72" spans="1:16" ht="19.5" hidden="1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0</v>
      </c>
      <c r="M72" s="577">
        <f ca="1">M73+M74</f>
        <v>0</v>
      </c>
      <c r="N72" s="577">
        <f ca="1">N73+N74</f>
        <v>0</v>
      </c>
      <c r="O72" s="577">
        <f ca="1">IF(L72&gt;0,N72*100/L72,0)</f>
        <v>0</v>
      </c>
      <c r="P72" s="577">
        <f ca="1">IF(M72&gt;0,N72*100/M72,0)</f>
        <v>0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hidden="1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hidden="1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IFERROR(__xludf.DUMMYFUNCTION("IMPORTRANGE(""https://docs.google.com/spreadsheets/d/1-uDff_7J0KD5mKrp0Vvzr7lt3OU09vwQwhkpOPPYv2Y/edit?usp=sharing"",""งบพรบ!AM46"")"),0)</f>
        <v>0</v>
      </c>
      <c r="M77" s="425">
        <f ca="1">IFERROR(__xludf.DUMMYFUNCTION("IMPORTRANGE(""https://docs.google.com/spreadsheets/d/1-uDff_7J0KD5mKrp0Vvzr7lt3OU09vwQwhkpOPPYv2Y/edit?usp=sharing"",""งบพรบ!AR46"")"),0)</f>
        <v>0</v>
      </c>
      <c r="N77" s="425">
        <f ca="1">IFERROR(__xludf.DUMMYFUNCTION("IMPORTRANGE(""https://docs.google.com/spreadsheets/d/1-uDff_7J0KD5mKrp0Vvzr7lt3OU09vwQwhkpOPPYv2Y/edit?usp=sharing"",""งบพรบ!AT46"")"),0)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hidden="1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IFERROR(__xludf.DUMMYFUNCTION("IMPORTRANGE(""https://docs.google.com/spreadsheets/d/1-uDff_7J0KD5mKrp0Vvzr7lt3OU09vwQwhkpOPPYv2Y/edit?usp=sharing"",""งบพรบ!AP46"")"),0)</f>
        <v>0</v>
      </c>
      <c r="M80" s="425">
        <f ca="1">IFERROR(__xludf.DUMMYFUNCTION("IMPORTRANGE(""https://docs.google.com/spreadsheets/d/1-uDff_7J0KD5mKrp0Vvzr7lt3OU09vwQwhkpOPPYv2Y/edit?usp=sharing"",""งบพรบ!AS46"")"),0)</f>
        <v>0</v>
      </c>
      <c r="N80" s="425">
        <f ca="1">IFERROR(__xludf.DUMMYFUNCTION("IMPORTRANGE(""https://docs.google.com/spreadsheets/d/1-uDff_7J0KD5mKrp0Vvzr7lt3OU09vwQwhkpOPPYv2Y/edit?usp=sharing"",""งบพรบ!AU46"")"),0)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hidden="1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0</v>
      </c>
      <c r="J82" s="625">
        <f>J84+J86+J88</f>
        <v>0</v>
      </c>
      <c r="K82" s="624">
        <f ca="1">IF(I82&gt;0,J82*100/I82,0)</f>
        <v>0</v>
      </c>
      <c r="L82" s="525"/>
      <c r="M82" s="525"/>
      <c r="N82" s="525"/>
      <c r="O82" s="525"/>
      <c r="P82" s="525"/>
    </row>
    <row r="83" spans="1:16" ht="19.5" hidden="1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0</v>
      </c>
      <c r="J83" s="625">
        <f>J85+J87+J89</f>
        <v>0</v>
      </c>
      <c r="K83" s="624">
        <f ca="1">IF(I83&gt;0,J83*100/I83,0)</f>
        <v>0</v>
      </c>
      <c r="L83" s="525"/>
      <c r="M83" s="525"/>
      <c r="N83" s="525"/>
      <c r="O83" s="525"/>
      <c r="P83" s="525"/>
    </row>
    <row r="84" spans="1:16" ht="18.75" hidden="1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IFERROR(__xludf.DUMMYFUNCTION("IMPORTRANGE(""https://docs.google.com/spreadsheets/d/1eHaY18a8A9IcSdp1K8H6x8fbOy06t2VsZHhMHf-1x7Y/edit?usp=sharing"",""แผน!H46"")"),0)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hidden="1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IFERROR(__xludf.DUMMYFUNCTION("IMPORTRANGE(""https://docs.google.com/spreadsheets/d/1eHaY18a8A9IcSdp1K8H6x8fbOy06t2VsZHhMHf-1x7Y/edit?usp=sharing"",""แผน!I46"")"),0)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hidden="1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IFERROR(__xludf.DUMMYFUNCTION("IMPORTRANGE(""https://docs.google.com/spreadsheets/d/1eHaY18a8A9IcSdp1K8H6x8fbOy06t2VsZHhMHf-1x7Y/edit?usp=sharing"",""แผน!F46"")"),0)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hidden="1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IFERROR(__xludf.DUMMYFUNCTION("IMPORTRANGE(""https://docs.google.com/spreadsheets/d/1eHaY18a8A9IcSdp1K8H6x8fbOy06t2VsZHhMHf-1x7Y/edit?usp=sharing"",""แผน!G46"")"),0)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hidden="1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IFERROR(__xludf.DUMMYFUNCTION("IMPORTRANGE(""https://docs.google.com/spreadsheets/d/1eHaY18a8A9IcSdp1K8H6x8fbOy06t2VsZHhMHf-1x7Y/edit?usp=sharing"",""แผน!D46"")"),0)</f>
        <v>0</v>
      </c>
      <c r="J88" s="595">
        <v>0</v>
      </c>
      <c r="K88" s="621">
        <f ca="1">IF(I88&gt;0,J88*100/I88,0)</f>
        <v>0</v>
      </c>
      <c r="L88" s="525"/>
      <c r="M88" s="525"/>
      <c r="N88" s="525"/>
      <c r="O88" s="525"/>
      <c r="P88" s="525"/>
    </row>
    <row r="89" spans="1:16" ht="18.75" hidden="1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IFERROR(__xludf.DUMMYFUNCTION("IMPORTRANGE(""https://docs.google.com/spreadsheets/d/1eHaY18a8A9IcSdp1K8H6x8fbOy06t2VsZHhMHf-1x7Y/edit?usp=sharing"",""แผน!E46"")"),0)</f>
        <v>0</v>
      </c>
      <c r="J89" s="595">
        <v>0</v>
      </c>
      <c r="K89" s="621">
        <f ca="1">IF(I89&gt;0,J89*100/I89,0)</f>
        <v>0</v>
      </c>
      <c r="L89" s="525"/>
      <c r="M89" s="525"/>
      <c r="N89" s="525"/>
      <c r="O89" s="525"/>
      <c r="P89" s="525"/>
    </row>
    <row r="90" spans="1:16" ht="18.75" hidden="1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IFERROR(__xludf.DUMMYFUNCTION("IMPORTRANGE(""https://docs.google.com/spreadsheets/d/1eHaY18a8A9IcSdp1K8H6x8fbOy06t2VsZHhMHf-1x7Y/edit?usp=sharing"",""แผน!J46"")"),0)</f>
        <v>0</v>
      </c>
      <c r="J90" s="595">
        <v>0</v>
      </c>
      <c r="K90" s="621">
        <f ca="1">IF(I90&gt;0,J90*100/I90,0)</f>
        <v>0</v>
      </c>
      <c r="L90" s="525"/>
      <c r="M90" s="525"/>
      <c r="N90" s="525"/>
      <c r="O90" s="525"/>
      <c r="P90" s="525"/>
    </row>
    <row r="91" spans="1:16" ht="19.5" hidden="1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hidden="1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0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hidden="1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0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hidden="1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0</v>
      </c>
      <c r="M94" s="577">
        <f ca="1">M95+M96</f>
        <v>0</v>
      </c>
      <c r="N94" s="577">
        <f ca="1">N95+N96</f>
        <v>0</v>
      </c>
      <c r="O94" s="577">
        <f ca="1">IF(L94&gt;0,N94*100/L94,0)</f>
        <v>0</v>
      </c>
      <c r="P94" s="577">
        <f ca="1">IF(M94&gt;0,N94*100/M94,0)</f>
        <v>0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hidden="1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hidden="1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IFERROR(__xludf.DUMMYFUNCTION("IMPORTRANGE(""https://docs.google.com/spreadsheets/d/1-uDff_7J0KD5mKrp0Vvzr7lt3OU09vwQwhkpOPPYv2Y/edit?usp=sharing"",""งบพรบ!AW46"")"),0)</f>
        <v>0</v>
      </c>
      <c r="M99" s="425">
        <f ca="1">IFERROR(__xludf.DUMMYFUNCTION("IMPORTRANGE(""https://docs.google.com/spreadsheets/d/1-uDff_7J0KD5mKrp0Vvzr7lt3OU09vwQwhkpOPPYv2Y/edit?usp=sharing"",""งบพรบ!BB46"")"),0)</f>
        <v>0</v>
      </c>
      <c r="N99" s="425">
        <f ca="1">IFERROR(__xludf.DUMMYFUNCTION("IMPORTRANGE(""https://docs.google.com/spreadsheets/d/1-uDff_7J0KD5mKrp0Vvzr7lt3OU09vwQwhkpOPPYv2Y/edit?usp=sharing"",""งบพรบ!BD46"")"),0)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hidden="1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IFERROR(__xludf.DUMMYFUNCTION("IMPORTRANGE(""https://docs.google.com/spreadsheets/d/1-uDff_7J0KD5mKrp0Vvzr7lt3OU09vwQwhkpOPPYv2Y/edit?usp=sharing"",""งบพรบ!AZ46"")"),0)</f>
        <v>0</v>
      </c>
      <c r="M102" s="425">
        <f ca="1">IFERROR(__xludf.DUMMYFUNCTION("IMPORTRANGE(""https://docs.google.com/spreadsheets/d/1-uDff_7J0KD5mKrp0Vvzr7lt3OU09vwQwhkpOPPYv2Y/edit?usp=sharing"",""งบพรบ!BC46"")"),0)</f>
        <v>0</v>
      </c>
      <c r="N102" s="425">
        <f ca="1">IFERROR(__xludf.DUMMYFUNCTION("IMPORTRANGE(""https://docs.google.com/spreadsheets/d/1-uDff_7J0KD5mKrp0Vvzr7lt3OU09vwQwhkpOPPYv2Y/edit?usp=sharing"",""งบพรบ!BE46"")"),0)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hidden="1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hidden="1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IFERROR(__xludf.DUMMYFUNCTION("IMPORTRANGE(""https://docs.google.com/spreadsheets/d/1eHaY18a8A9IcSdp1K8H6x8fbOy06t2VsZHhMHf-1x7Y/edit?usp=sharing"",""แผน!N46"")"),0)</f>
        <v>0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hidden="1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IFERROR(__xludf.DUMMYFUNCTION("IMPORTRANGE(""https://docs.google.com/spreadsheets/d/1eHaY18a8A9IcSdp1K8H6x8fbOy06t2VsZHhMHf-1x7Y/edit?usp=sharing"",""แผน!O46"")"),0)</f>
        <v>0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hidden="1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IFERROR(__xludf.DUMMYFUNCTION("IMPORTRANGE(""https://docs.google.com/spreadsheets/d/1eHaY18a8A9IcSdp1K8H6x8fbOy06t2VsZHhMHf-1x7Y/edit?usp=sharing"",""แผน!R46"")"),0)</f>
        <v>0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IFERROR(__xludf.DUMMYFUNCTION("IMPORTRANGE(""https://docs.google.com/spreadsheets/d/1-uDff_7J0KD5mKrp0Vvzr7lt3OU09vwQwhkpOPPYv2Y/edit?usp=sharing"",""งบพรบ!BG46"")"),0)</f>
        <v>0</v>
      </c>
      <c r="M130" s="723">
        <f ca="1">IFERROR(__xludf.DUMMYFUNCTION("IMPORTRANGE(""https://docs.google.com/spreadsheets/d/1-uDff_7J0KD5mKrp0Vvzr7lt3OU09vwQwhkpOPPYv2Y/edit?usp=sharing"",""งบพรบ!BL46"")"),0)</f>
        <v>0</v>
      </c>
      <c r="N130" s="723">
        <f ca="1">IFERROR(__xludf.DUMMYFUNCTION("IMPORTRANGE(""https://docs.google.com/spreadsheets/d/1-uDff_7J0KD5mKrp0Vvzr7lt3OU09vwQwhkpOPPYv2Y/edit?usp=sharing"",""งบพรบ!BN46"")"),0)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IFERROR(__xludf.DUMMYFUNCTION("IMPORTRANGE(""https://docs.google.com/spreadsheets/d/1-uDff_7J0KD5mKrp0Vvzr7lt3OU09vwQwhkpOPPYv2Y/edit?usp=sharing"",""งบพรบ!BJ46"")"),0)</f>
        <v>0</v>
      </c>
      <c r="M133" s="723">
        <f ca="1">IFERROR(__xludf.DUMMYFUNCTION("IMPORTRANGE(""https://docs.google.com/spreadsheets/d/1-uDff_7J0KD5mKrp0Vvzr7lt3OU09vwQwhkpOPPYv2Y/edit?usp=sharing"",""งบพรบ!BM46"")"),0)</f>
        <v>0</v>
      </c>
      <c r="N133" s="723">
        <f ca="1">IFERROR(__xludf.DUMMYFUNCTION("IMPORTRANGE(""https://docs.google.com/spreadsheets/d/1-uDff_7J0KD5mKrp0Vvzr7lt3OU09vwQwhkpOPPYv2Y/edit?usp=sharing"",""งบพรบ!BO46"")"),0)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hidden="1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hidden="1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hidden="1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0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hidden="1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0</v>
      </c>
      <c r="J137" s="705">
        <f>J152</f>
        <v>0</v>
      </c>
      <c r="K137" s="704">
        <f ca="1">IF(I137&gt;0,J137*100/I137,0)</f>
        <v>0</v>
      </c>
      <c r="L137" s="703"/>
      <c r="M137" s="703"/>
      <c r="N137" s="703"/>
      <c r="O137" s="703"/>
      <c r="P137" s="703"/>
    </row>
    <row r="138" spans="1:16" ht="19.5" hidden="1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0</v>
      </c>
      <c r="J138" s="705">
        <f>J153</f>
        <v>0</v>
      </c>
      <c r="K138" s="704">
        <f ca="1">IF(I138&gt;0,J138*100/I138,0)</f>
        <v>0</v>
      </c>
      <c r="L138" s="703"/>
      <c r="M138" s="703"/>
      <c r="N138" s="703"/>
      <c r="O138" s="703"/>
      <c r="P138" s="703"/>
    </row>
    <row r="139" spans="1:16" ht="19.5" hidden="1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0</v>
      </c>
      <c r="M139" s="577">
        <f ca="1">M140+M141</f>
        <v>0</v>
      </c>
      <c r="N139" s="577">
        <f ca="1">N140+N141</f>
        <v>0</v>
      </c>
      <c r="O139" s="577">
        <f ca="1">IF(L139&gt;0,N139*100/L139,0)</f>
        <v>0</v>
      </c>
      <c r="P139" s="577">
        <f ca="1">IF(M139&gt;0,N139*100/M139,0)</f>
        <v>0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hidden="1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0</v>
      </c>
      <c r="M141" s="425">
        <f ca="1">M144+M147</f>
        <v>0</v>
      </c>
      <c r="N141" s="425">
        <f ca="1">N144+N147</f>
        <v>0</v>
      </c>
      <c r="O141" s="425">
        <f ca="1">IF(L141&gt;0,N141*100/L141,0)</f>
        <v>0</v>
      </c>
      <c r="P141" s="425">
        <f ca="1">IF(M141&gt;0,N141*100/M141,0)</f>
        <v>0</v>
      </c>
    </row>
    <row r="142" spans="1:16" ht="18.75" hidden="1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0</v>
      </c>
      <c r="M142" s="425">
        <f ca="1">M143+M144</f>
        <v>0</v>
      </c>
      <c r="N142" s="425">
        <f ca="1">N143+N144</f>
        <v>0</v>
      </c>
      <c r="O142" s="425">
        <f ca="1">IF(L142&gt;0,N142*100/L142,0)</f>
        <v>0</v>
      </c>
      <c r="P142" s="425">
        <f ca="1">IF(M142&gt;0,N142*100/M142,0)</f>
        <v>0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hidden="1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IFERROR(__xludf.DUMMYFUNCTION("IMPORTRANGE(""https://docs.google.com/spreadsheets/d/1-uDff_7J0KD5mKrp0Vvzr7lt3OU09vwQwhkpOPPYv2Y/edit?usp=sharing"",""งบพรบ!BQ46"")"),0)</f>
        <v>0</v>
      </c>
      <c r="M144" s="425">
        <f ca="1">IFERROR(__xludf.DUMMYFUNCTION("IMPORTRANGE(""https://docs.google.com/spreadsheets/d/1-uDff_7J0KD5mKrp0Vvzr7lt3OU09vwQwhkpOPPYv2Y/edit?usp=sharing"",""งบพรบ!BV46"")"),0)</f>
        <v>0</v>
      </c>
      <c r="N144" s="425">
        <f ca="1">IFERROR(__xludf.DUMMYFUNCTION("IMPORTRANGE(""https://docs.google.com/spreadsheets/d/1-uDff_7J0KD5mKrp0Vvzr7lt3OU09vwQwhkpOPPYv2Y/edit?usp=sharing"",""งบพรบ!BX46"")"),0)</f>
        <v>0</v>
      </c>
      <c r="O144" s="425">
        <f ca="1">IF(L144&gt;0,N144*100/L144,0)</f>
        <v>0</v>
      </c>
      <c r="P144" s="425">
        <f ca="1">IF(M144&gt;0,N144*100/M144,0)</f>
        <v>0</v>
      </c>
    </row>
    <row r="145" spans="1:16" ht="18.75" hidden="1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hidden="1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IFERROR(__xludf.DUMMYFUNCTION("IMPORTRANGE(""https://docs.google.com/spreadsheets/d/1-uDff_7J0KD5mKrp0Vvzr7lt3OU09vwQwhkpOPPYv2Y/edit?usp=sharing"",""งบพรบ!BT46"")"),0)</f>
        <v>0</v>
      </c>
      <c r="M147" s="425">
        <f ca="1">IFERROR(__xludf.DUMMYFUNCTION("IMPORTRANGE(""https://docs.google.com/spreadsheets/d/1-uDff_7J0KD5mKrp0Vvzr7lt3OU09vwQwhkpOPPYv2Y/edit?usp=sharing"",""งบพรบ!BW46"")"),0)</f>
        <v>0</v>
      </c>
      <c r="N147" s="425">
        <f ca="1">IFERROR(__xludf.DUMMYFUNCTION("IMPORTRANGE(""https://docs.google.com/spreadsheets/d/1-uDff_7J0KD5mKrp0Vvzr7lt3OU09vwQwhkpOPPYv2Y/edit?usp=sharing"",""งบพรบ!BY46"")"),0)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hidden="1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hidden="1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hidden="1" x14ac:dyDescent="0.3">
      <c r="A150" s="535"/>
      <c r="B150" s="418"/>
      <c r="C150" s="418"/>
      <c r="D150" s="420"/>
      <c r="E150" s="570" t="s">
        <v>159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IFERROR(__xludf.DUMMYFUNCTION("IMPORTRANGE(""https://docs.google.com/spreadsheets/d/1eHaY18a8A9IcSdp1K8H6x8fbOy06t2VsZHhMHf-1x7Y/edit?usp=sharing"",""แผน!U46"")"),0)</f>
        <v>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hidden="1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IFERROR(__xludf.DUMMYFUNCTION("IMPORTRANGE(""https://docs.google.com/spreadsheets/d/1eHaY18a8A9IcSdp1K8H6x8fbOy06t2VsZHhMHf-1x7Y/edit?usp=sharing"",""แผน!V46"")"),0)</f>
        <v>0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hidden="1" x14ac:dyDescent="0.3">
      <c r="A152" s="535"/>
      <c r="B152" s="418"/>
      <c r="C152" s="418"/>
      <c r="D152" s="420"/>
      <c r="E152" s="570" t="s">
        <v>158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IFERROR(__xludf.DUMMYFUNCTION("IMPORTRANGE(""https://docs.google.com/spreadsheets/d/1eHaY18a8A9IcSdp1K8H6x8fbOy06t2VsZHhMHf-1x7Y/edit?usp=sharing"",""แผน!W46"")"),0)</f>
        <v>0</v>
      </c>
      <c r="J152" s="595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hidden="1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IFERROR(__xludf.DUMMYFUNCTION("IMPORTRANGE(""https://docs.google.com/spreadsheets/d/1eHaY18a8A9IcSdp1K8H6x8fbOy06t2VsZHhMHf-1x7Y/edit?usp=sharing"",""แผน!X46"")"),0)</f>
        <v>0</v>
      </c>
      <c r="J153" s="595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hidden="1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IFERROR(__xludf.DUMMYFUNCTION("IMPORTRANGE(""https://docs.google.com/spreadsheets/d/1eHaY18a8A9IcSdp1K8H6x8fbOy06t2VsZHhMHf-1x7Y/edit?usp=sharing"",""แผน!Y46"")"),0)</f>
        <v>0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hidden="1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hidden="1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I169</f>
        <v>0</v>
      </c>
      <c r="J156" s="705">
        <f>J169</f>
        <v>0</v>
      </c>
      <c r="K156" s="704">
        <f ca="1">IF(I156&gt;0,J156*100/I156,0)</f>
        <v>0</v>
      </c>
      <c r="L156" s="703"/>
      <c r="M156" s="703"/>
      <c r="N156" s="703"/>
      <c r="O156" s="703"/>
      <c r="P156" s="703"/>
    </row>
    <row r="157" spans="1:16" ht="19.5" hidden="1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hidden="1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hidden="1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hidden="1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IFERROR(__xludf.DUMMYFUNCTION("IMPORTRANGE(""https://docs.google.com/spreadsheets/d/1-uDff_7J0KD5mKrp0Vvzr7lt3OU09vwQwhkpOPPYv2Y/edit?usp=sharing"",""งบพรบ!CA46"")"),0)</f>
        <v>0</v>
      </c>
      <c r="M162" s="425">
        <f ca="1">IFERROR(__xludf.DUMMYFUNCTION("IMPORTRANGE(""https://docs.google.com/spreadsheets/d/1-uDff_7J0KD5mKrp0Vvzr7lt3OU09vwQwhkpOPPYv2Y/edit?usp=sharing"",""งบพรบ!CF46"")"),0)</f>
        <v>0</v>
      </c>
      <c r="N162" s="425">
        <f ca="1">IFERROR(__xludf.DUMMYFUNCTION("IMPORTRANGE(""https://docs.google.com/spreadsheets/d/1-uDff_7J0KD5mKrp0Vvzr7lt3OU09vwQwhkpOPPYv2Y/edit?usp=sharing"",""งบพรบ!CH46"")"),0)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hidden="1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hidden="1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IFERROR(__xludf.DUMMYFUNCTION("IMPORTRANGE(""https://docs.google.com/spreadsheets/d/1-uDff_7J0KD5mKrp0Vvzr7lt3OU09vwQwhkpOPPYv2Y/edit?usp=sharing"",""งบพรบ!CD46"")"),0)</f>
        <v>0</v>
      </c>
      <c r="M165" s="425">
        <f ca="1">IFERROR(__xludf.DUMMYFUNCTION("IMPORTRANGE(""https://docs.google.com/spreadsheets/d/1-uDff_7J0KD5mKrp0Vvzr7lt3OU09vwQwhkpOPPYv2Y/edit?usp=sharing"",""งบพรบ!CG46"")"),0)</f>
        <v>0</v>
      </c>
      <c r="N165" s="425">
        <f ca="1">IFERROR(__xludf.DUMMYFUNCTION("IMPORTRANGE(""https://docs.google.com/spreadsheets/d/1-uDff_7J0KD5mKrp0Vvzr7lt3OU09vwQwhkpOPPYv2Y/edit?usp=sharing"",""งบพรบ!CI46"")"),0)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hidden="1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hidden="1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IFERROR(__xludf.DUMMYFUNCTION("IMPORTRANGE(""https://docs.google.com/spreadsheets/d/1eHaY18a8A9IcSdp1K8H6x8fbOy06t2VsZHhMHf-1x7Y/edit?usp=sharing"",""แผน!Z46"")"),0)</f>
        <v>0</v>
      </c>
      <c r="J167" s="595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IFERROR(__xludf.DUMMYFUNCTION("IMPORTRANGE(""https://docs.google.com/spreadsheets/d/1eHaY18a8A9IcSdp1K8H6x8fbOy06t2VsZHhMHf-1x7Y/edit?usp=sharing"",""แผน!Z46"")"),0)</f>
        <v>0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IFERROR(__xludf.DUMMYFUNCTION("IMPORTRANGE(""https://docs.google.com/spreadsheets/d/1eHaY18a8A9IcSdp1K8H6x8fbOy06t2VsZHhMHf-1x7Y/edit?usp=sharing"",""แผน!Z46"")"),0)</f>
        <v>0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7</v>
      </c>
      <c r="J172" s="688">
        <f>J183+J184</f>
        <v>0</v>
      </c>
      <c r="K172" s="687">
        <f ca="1">IF(I172&gt;0,J172*100/I172,0)</f>
        <v>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19590</v>
      </c>
      <c r="M173" s="577">
        <f ca="1">M174+M175</f>
        <v>19590</v>
      </c>
      <c r="N173" s="577">
        <f ca="1">N174+N175</f>
        <v>0</v>
      </c>
      <c r="O173" s="577">
        <f ca="1">IF(L173&gt;0,N173*100/L173,0)</f>
        <v>0</v>
      </c>
      <c r="P173" s="577">
        <f ca="1">IF(M173&gt;0,N173*100/M173,0)</f>
        <v>0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19590</v>
      </c>
      <c r="N175" s="425">
        <f ca="1">N178+N181</f>
        <v>0</v>
      </c>
      <c r="O175" s="425">
        <f ca="1">IF(L175&gt;0,N175*100/L175,0)</f>
        <v>0</v>
      </c>
      <c r="P175" s="425">
        <f ca="1">IF(M175&gt;0,N175*100/M175,0)</f>
        <v>0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19590</v>
      </c>
      <c r="M176" s="425">
        <f ca="1">M177+M178</f>
        <v>19590</v>
      </c>
      <c r="N176" s="425">
        <f ca="1">N177+N178</f>
        <v>0</v>
      </c>
      <c r="O176" s="425">
        <f ca="1">IF(L176&gt;0,N176*100/L176,0)</f>
        <v>0</v>
      </c>
      <c r="P176" s="425">
        <f ca="1">IF(M176&gt;0,N176*100/M176,0)</f>
        <v>0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IFERROR(__xludf.DUMMYFUNCTION("IMPORTRANGE(""https://docs.google.com/spreadsheets/d/1-uDff_7J0KD5mKrp0Vvzr7lt3OU09vwQwhkpOPPYv2Y/edit?usp=sharing"",""งบพรบ!CK46"")"),19590)</f>
        <v>19590</v>
      </c>
      <c r="M178" s="425">
        <f ca="1">IFERROR(__xludf.DUMMYFUNCTION("IMPORTRANGE(""https://docs.google.com/spreadsheets/d/1-uDff_7J0KD5mKrp0Vvzr7lt3OU09vwQwhkpOPPYv2Y/edit?usp=sharing"",""งบพรบ!CP46"")"),19590)</f>
        <v>19590</v>
      </c>
      <c r="N178" s="425">
        <f ca="1">IFERROR(__xludf.DUMMYFUNCTION("IMPORTRANGE(""https://docs.google.com/spreadsheets/d/1-uDff_7J0KD5mKrp0Vvzr7lt3OU09vwQwhkpOPPYv2Y/edit?usp=sharing"",""งบพรบ!CR46"")"),0)</f>
        <v>0</v>
      </c>
      <c r="O178" s="425">
        <f ca="1">IF(L178&gt;0,N178*100/L178,0)</f>
        <v>0</v>
      </c>
      <c r="P178" s="425">
        <f ca="1">IF(M178&gt;0,N178*100/M178,0)</f>
        <v>0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IFERROR(__xludf.DUMMYFUNCTION("IMPORTRANGE(""https://docs.google.com/spreadsheets/d/1-uDff_7J0KD5mKrp0Vvzr7lt3OU09vwQwhkpOPPYv2Y/edit?usp=sharing"",""งบพรบ!CN46"")"),0)</f>
        <v>0</v>
      </c>
      <c r="M181" s="425">
        <f ca="1">IFERROR(__xludf.DUMMYFUNCTION("IMPORTRANGE(""https://docs.google.com/spreadsheets/d/1-uDff_7J0KD5mKrp0Vvzr7lt3OU09vwQwhkpOPPYv2Y/edit?usp=sharing"",""งบพรบ!CQ46"")"),0)</f>
        <v>0</v>
      </c>
      <c r="N181" s="425">
        <f ca="1">IFERROR(__xludf.DUMMYFUNCTION("IMPORTRANGE(""https://docs.google.com/spreadsheets/d/1-uDff_7J0KD5mKrp0Vvzr7lt3OU09vwQwhkpOPPYv2Y/edit?usp=sharing"",""งบพรบ!CS46"")"),0)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IFERROR(__xludf.DUMMYFUNCTION("IMPORTRANGE(""https://docs.google.com/spreadsheets/d/1eHaY18a8A9IcSdp1K8H6x8fbOy06t2VsZHhMHf-1x7Y/edit?usp=sharing"",""แผน!AA46"")"),7)</f>
        <v>7</v>
      </c>
      <c r="J183" s="595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0</v>
      </c>
      <c r="J185" s="688">
        <f>J230+J231</f>
        <v>0</v>
      </c>
      <c r="K185" s="687">
        <f ca="1">IF(I185&gt;0,J185*100/I185,0)</f>
        <v>0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65500</v>
      </c>
      <c r="M186" s="577">
        <f ca="1">M187+M188</f>
        <v>40500</v>
      </c>
      <c r="N186" s="577">
        <f ca="1">N187+N188</f>
        <v>1500</v>
      </c>
      <c r="O186" s="577">
        <f ca="1">IF(L186&gt;0,N186*100/L186,0)</f>
        <v>2.2900763358778624</v>
      </c>
      <c r="P186" s="577">
        <f ca="1">IF(M186&gt;0,N186*100/M186,0)</f>
        <v>3.7037037037037037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65500</v>
      </c>
      <c r="M188" s="425">
        <f ca="1">M191+M194</f>
        <v>40500</v>
      </c>
      <c r="N188" s="425">
        <f ca="1">N191+N194</f>
        <v>1500</v>
      </c>
      <c r="O188" s="425">
        <f ca="1">IF(L188&gt;0,N188*100/L188,0)</f>
        <v>2.2900763358778624</v>
      </c>
      <c r="P188" s="425">
        <f ca="1">IF(M188&gt;0,N188*100/M188,0)</f>
        <v>3.7037037037037037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65500</v>
      </c>
      <c r="M189" s="425">
        <f ca="1">M190+M191</f>
        <v>40500</v>
      </c>
      <c r="N189" s="425">
        <f ca="1">N190+N191</f>
        <v>1500</v>
      </c>
      <c r="O189" s="425">
        <f ca="1">IF(L189&gt;0,N189*100/L189,0)</f>
        <v>2.2900763358778624</v>
      </c>
      <c r="P189" s="425">
        <f ca="1">IF(M189&gt;0,N189*100/M189,0)</f>
        <v>3.7037037037037037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IFERROR(__xludf.DUMMYFUNCTION("IMPORTRANGE(""https://docs.google.com/spreadsheets/d/1-uDff_7J0KD5mKrp0Vvzr7lt3OU09vwQwhkpOPPYv2Y/edit?usp=sharing"",""งบพรบ!CU46"")"),65500)</f>
        <v>65500</v>
      </c>
      <c r="M191" s="425">
        <f ca="1">IFERROR(__xludf.DUMMYFUNCTION("IMPORTRANGE(""https://docs.google.com/spreadsheets/d/1-uDff_7J0KD5mKrp0Vvzr7lt3OU09vwQwhkpOPPYv2Y/edit?usp=sharing"",""งบพรบ!CZ46"")"),40500)</f>
        <v>40500</v>
      </c>
      <c r="N191" s="425">
        <f ca="1">IFERROR(__xludf.DUMMYFUNCTION("IMPORTRANGE(""https://docs.google.com/spreadsheets/d/1-uDff_7J0KD5mKrp0Vvzr7lt3OU09vwQwhkpOPPYv2Y/edit?usp=sharing"",""งบพรบ!DB46"")"),1500)</f>
        <v>1500</v>
      </c>
      <c r="O191" s="425">
        <f ca="1">IF(L191&gt;0,N191*100/L191,0)</f>
        <v>2.2900763358778624</v>
      </c>
      <c r="P191" s="425">
        <f ca="1">IF(M191&gt;0,N191*100/M191,0)</f>
        <v>3.7037037037037037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IFERROR(__xludf.DUMMYFUNCTION("IMPORTRANGE(""https://docs.google.com/spreadsheets/d/1-uDff_7J0KD5mKrp0Vvzr7lt3OU09vwQwhkpOPPYv2Y/edit?usp=sharing"",""งบพรบ!CX46"")"),0)</f>
        <v>0</v>
      </c>
      <c r="M194" s="425">
        <f ca="1">IFERROR(__xludf.DUMMYFUNCTION("IMPORTRANGE(""https://docs.google.com/spreadsheets/d/1-uDff_7J0KD5mKrp0Vvzr7lt3OU09vwQwhkpOPPYv2Y/edit?usp=sharing"",""งบพรบ!DA46"")"),0)</f>
        <v>0</v>
      </c>
      <c r="N194" s="425">
        <f ca="1">IFERROR(__xludf.DUMMYFUNCTION("IMPORTRANGE(""https://docs.google.com/spreadsheets/d/1-uDff_7J0KD5mKrp0Vvzr7lt3OU09vwQwhkpOPPYv2Y/edit?usp=sharing"",""งบพรบ!DC46"")"),0)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0</v>
      </c>
      <c r="K195" s="439">
        <f ca="1">IF(I195&gt;0,J195*100/I195,0)</f>
        <v>0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IFERROR(__xludf.DUMMYFUNCTION("IMPORTRANGE(""https://docs.google.com/spreadsheets/d/1eHaY18a8A9IcSdp1K8H6x8fbOy06t2VsZHhMHf-1x7Y/edit?usp=sharing"",""แผน!AB46"")"),6000)</f>
        <v>6000</v>
      </c>
      <c r="M196" s="428"/>
      <c r="N196" s="686">
        <v>0</v>
      </c>
      <c r="O196" s="577">
        <f ca="1">IF(L196&gt;0,N196*100/L196,0)</f>
        <v>0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IFERROR(__xludf.DUMMYFUNCTION("IMPORTRANGE(""https://docs.google.com/spreadsheets/d/1eHaY18a8A9IcSdp1K8H6x8fbOy06t2VsZHhMHf-1x7Y/edit?usp=sharing"",""แผน!AE46"")"),4)</f>
        <v>4</v>
      </c>
      <c r="J198" s="595">
        <v>0</v>
      </c>
      <c r="K198" s="425">
        <f ca="1">IF(I198&gt;0,J198*100/I198,0)</f>
        <v>0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1</v>
      </c>
      <c r="J202" s="438">
        <f>J209</f>
        <v>0</v>
      </c>
      <c r="K202" s="439">
        <f ca="1">IF(I202&gt;0,J202*100/I202,0)</f>
        <v>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13000</v>
      </c>
      <c r="M203" s="428"/>
      <c r="N203" s="577">
        <f>N204+N205+N206+N207</f>
        <v>0</v>
      </c>
      <c r="O203" s="577">
        <f ca="1">IF(L203&gt;0,N203*100/L203,0)</f>
        <v>0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2" t="s">
        <v>157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IFERROR(__xludf.DUMMYFUNCTION("IMPORTRANGE(""https://docs.google.com/spreadsheets/d/1eHaY18a8A9IcSdp1K8H6x8fbOy06t2VsZHhMHf-1x7Y/edit?usp=sharing"",""แผน!AG46"")"),1000)</f>
        <v>1000</v>
      </c>
      <c r="M204" s="428"/>
      <c r="N204" s="683">
        <v>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IFERROR(__xludf.DUMMYFUNCTION("IMPORTRANGE(""https://docs.google.com/spreadsheets/d/1eHaY18a8A9IcSdp1K8H6x8fbOy06t2VsZHhMHf-1x7Y/edit?usp=sharing"",""แผน!AH46"")"),0)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IFERROR(__xludf.DUMMYFUNCTION("IMPORTRANGE(""https://docs.google.com/spreadsheets/d/1eHaY18a8A9IcSdp1K8H6x8fbOy06t2VsZHhMHf-1x7Y/edit?usp=sharing"",""แผน!AI46"")"),8000)</f>
        <v>8000</v>
      </c>
      <c r="M206" s="428"/>
      <c r="N206" s="683">
        <v>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IFERROR(__xludf.DUMMYFUNCTION("IMPORTRANGE(""https://docs.google.com/spreadsheets/d/1eHaY18a8A9IcSdp1K8H6x8fbOy06t2VsZHhMHf-1x7Y/edit?usp=sharing"",""แผน!AJ46"")"),4000)</f>
        <v>4000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IFERROR(__xludf.DUMMYFUNCTION("IMPORTRANGE(""https://docs.google.com/spreadsheets/d/1eHaY18a8A9IcSdp1K8H6x8fbOy06t2VsZHhMHf-1x7Y/edit?usp=sharing"",""แผน!AK46"")"),1)</f>
        <v>1</v>
      </c>
      <c r="J209" s="595">
        <v>0</v>
      </c>
      <c r="K209" s="621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IFERROR(__xludf.DUMMYFUNCTION("IMPORTRANGE(""https://docs.google.com/spreadsheets/d/1eHaY18a8A9IcSdp1K8H6x8fbOy06t2VsZHhMHf-1x7Y/edit?usp=sharing"",""แผน!JX46"")"),1)</f>
        <v>1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IFERROR(__xludf.DUMMYFUNCTION("IMPORTRANGE(""https://docs.google.com/spreadsheets/d/1eHaY18a8A9IcSdp1K8H6x8fbOy06t2VsZHhMHf-1x7Y/edit?usp=sharing"",""แผน!JY46"")"),0)</f>
        <v>0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3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42000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IFERROR(__xludf.DUMMYFUNCTION("IMPORTRANGE(""https://docs.google.com/spreadsheets/d/1eHaY18a8A9IcSdp1K8H6x8fbOy06t2VsZHhMHf-1x7Y/edit?usp=sharing"",""แผน!AM46"")"),3000)</f>
        <v>3000</v>
      </c>
      <c r="M215" s="428"/>
      <c r="N215" s="683">
        <v>0</v>
      </c>
      <c r="O215" s="525"/>
      <c r="P215" s="428"/>
    </row>
    <row r="216" spans="1:16" ht="18.75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IFERROR(__xludf.DUMMYFUNCTION("IMPORTRANGE(""https://docs.google.com/spreadsheets/d/1eHaY18a8A9IcSdp1K8H6x8fbOy06t2VsZHhMHf-1x7Y/edit?usp=sharing"",""แผน!AN46"")"),15000)</f>
        <v>15000</v>
      </c>
      <c r="M216" s="428"/>
      <c r="N216" s="683">
        <v>0</v>
      </c>
      <c r="O216" s="525"/>
      <c r="P216" s="428"/>
    </row>
    <row r="217" spans="1:16" ht="18.75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IFERROR(__xludf.DUMMYFUNCTION("IMPORTRANGE(""https://docs.google.com/spreadsheets/d/1eHaY18a8A9IcSdp1K8H6x8fbOy06t2VsZHhMHf-1x7Y/edit?usp=sharing"",""แผน!AO46"")"),24000)</f>
        <v>24000</v>
      </c>
      <c r="M217" s="428"/>
      <c r="N217" s="683">
        <v>0</v>
      </c>
      <c r="O217" s="525"/>
      <c r="P217" s="428"/>
    </row>
    <row r="218" spans="1:16" ht="19.5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IFERROR(__xludf.DUMMYFUNCTION("IMPORTRANGE(""https://docs.google.com/spreadsheets/d/1eHaY18a8A9IcSdp1K8H6x8fbOy06t2VsZHhMHf-1x7Y/edit?usp=sharing"",""แผน!AP46"")"),3)</f>
        <v>3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IFERROR(__xludf.DUMMYFUNCTION("IMPORTRANGE(""https://docs.google.com/spreadsheets/d/1eHaY18a8A9IcSdp1K8H6x8fbOy06t2VsZHhMHf-1x7Y/edit?usp=sharing"",""แผน!AP46"")"),3)</f>
        <v>3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15000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4500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2" t="s">
        <v>156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IFERROR(__xludf.DUMMYFUNCTION("IMPORTRANGE(""https://docs.google.com/spreadsheets/d/1eHaY18a8A9IcSdp1K8H6x8fbOy06t2VsZHhMHf-1x7Y/edit?usp=sharing"",""แผน!AR46"")"),3000)</f>
        <v>3000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IFERROR(__xludf.DUMMYFUNCTION("IMPORTRANGE(""https://docs.google.com/spreadsheets/d/1eHaY18a8A9IcSdp1K8H6x8fbOy06t2VsZHhMHf-1x7Y/edit?usp=sharing"",""แผน!AS46"")"),1500)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IFERROR(__xludf.DUMMYFUNCTION("IMPORTRANGE(""https://docs.google.com/spreadsheets/d/1eHaY18a8A9IcSdp1K8H6x8fbOy06t2VsZHhMHf-1x7Y/edit?usp=sharing"",""แผน!AT46"")"),0)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IFERROR(__xludf.DUMMYFUNCTION("IMPORTRANGE(""https://docs.google.com/spreadsheets/d/1eHaY18a8A9IcSdp1K8H6x8fbOy06t2VsZHhMHf-1x7Y/edit?usp=sharing"",""แผน!AV46"")"),15000)</f>
        <v>15000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IFERROR(__xludf.DUMMYFUNCTION("IMPORTRANGE(""https://docs.google.com/spreadsheets/d/1eHaY18a8A9IcSdp1K8H6x8fbOy06t2VsZHhMHf-1x7Y/edit?usp=sharing"",""แผน!AV46"")"),15000)</f>
        <v>15000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IFERROR(__xludf.DUMMYFUNCTION("IMPORTRANGE(""https://docs.google.com/spreadsheets/d/1eHaY18a8A9IcSdp1K8H6x8fbOy06t2VsZHhMHf-1x7Y/edit?usp=sharing"",""แผน!AU46"")"),0)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432"/>
      <c r="B231" s="434"/>
      <c r="C231" s="682" t="s">
        <v>99</v>
      </c>
      <c r="D231" s="433"/>
      <c r="E231" s="433"/>
      <c r="F231" s="433"/>
      <c r="G231" s="436"/>
      <c r="H231" s="437" t="s">
        <v>33</v>
      </c>
      <c r="I231" s="438">
        <f ca="1">I242+I253</f>
        <v>0</v>
      </c>
      <c r="J231" s="438">
        <f>J242+J253</f>
        <v>0</v>
      </c>
      <c r="K231" s="439">
        <f ca="1">IF(I231&gt;0,J231*100/I231,0)</f>
        <v>0</v>
      </c>
      <c r="L231" s="571"/>
      <c r="M231" s="571"/>
      <c r="N231" s="571"/>
      <c r="O231" s="571"/>
      <c r="P231" s="571"/>
    </row>
    <row r="232" spans="1:16" ht="19.5" hidden="1" x14ac:dyDescent="0.3">
      <c r="A232" s="535"/>
      <c r="B232" s="418"/>
      <c r="C232" s="570" t="s">
        <v>16</v>
      </c>
      <c r="D232" s="579" t="s">
        <v>17</v>
      </c>
      <c r="E232" s="418"/>
      <c r="F232" s="418"/>
      <c r="G232" s="422"/>
      <c r="H232" s="681" t="s">
        <v>12</v>
      </c>
      <c r="I232" s="526"/>
      <c r="J232" s="526"/>
      <c r="K232" s="525"/>
      <c r="L232" s="577">
        <f ca="1">L243+L254</f>
        <v>0</v>
      </c>
      <c r="M232" s="428"/>
      <c r="N232" s="577">
        <f>N243+N254</f>
        <v>0</v>
      </c>
      <c r="O232" s="428"/>
      <c r="P232" s="428"/>
    </row>
    <row r="233" spans="1:16" ht="18.75" hidden="1" x14ac:dyDescent="0.25">
      <c r="A233" s="535"/>
      <c r="B233" s="419"/>
      <c r="C233" s="418"/>
      <c r="D233" s="293" t="s">
        <v>80</v>
      </c>
      <c r="E233" s="418"/>
      <c r="F233" s="418"/>
      <c r="G233" s="422"/>
      <c r="H233" s="576" t="s">
        <v>12</v>
      </c>
      <c r="I233" s="526"/>
      <c r="J233" s="526"/>
      <c r="K233" s="525"/>
      <c r="L233" s="425">
        <f ca="1">L244+L255</f>
        <v>0</v>
      </c>
      <c r="M233" s="428"/>
      <c r="N233" s="425">
        <f>N244+N255</f>
        <v>0</v>
      </c>
      <c r="O233" s="428"/>
      <c r="P233" s="428"/>
    </row>
    <row r="234" spans="1:16" ht="18.75" hidden="1" x14ac:dyDescent="0.25">
      <c r="A234" s="417"/>
      <c r="B234" s="419"/>
      <c r="C234" s="419"/>
      <c r="D234" s="293" t="s">
        <v>82</v>
      </c>
      <c r="E234" s="418"/>
      <c r="F234" s="418"/>
      <c r="G234" s="422"/>
      <c r="H234" s="576" t="s">
        <v>12</v>
      </c>
      <c r="I234" s="427"/>
      <c r="J234" s="427"/>
      <c r="K234" s="428"/>
      <c r="L234" s="425">
        <f ca="1">L245+L256</f>
        <v>0</v>
      </c>
      <c r="M234" s="428"/>
      <c r="N234" s="425">
        <f>N245+N256</f>
        <v>0</v>
      </c>
      <c r="O234" s="428"/>
      <c r="P234" s="428"/>
    </row>
    <row r="235" spans="1:16" ht="18.75" hidden="1" x14ac:dyDescent="0.25">
      <c r="A235" s="417"/>
      <c r="B235" s="419"/>
      <c r="C235" s="419"/>
      <c r="D235" s="293" t="s">
        <v>100</v>
      </c>
      <c r="E235" s="418"/>
      <c r="F235" s="418"/>
      <c r="G235" s="422"/>
      <c r="H235" s="576" t="s">
        <v>12</v>
      </c>
      <c r="I235" s="427"/>
      <c r="J235" s="427"/>
      <c r="K235" s="428"/>
      <c r="L235" s="425">
        <f ca="1">L246+L257</f>
        <v>0</v>
      </c>
      <c r="M235" s="428"/>
      <c r="N235" s="425">
        <f>N246+N257</f>
        <v>0</v>
      </c>
      <c r="O235" s="428"/>
      <c r="P235" s="428"/>
    </row>
    <row r="236" spans="1:16" ht="18.75" hidden="1" x14ac:dyDescent="0.25">
      <c r="A236" s="417"/>
      <c r="B236" s="419"/>
      <c r="C236" s="419"/>
      <c r="D236" s="293" t="s">
        <v>101</v>
      </c>
      <c r="E236" s="418"/>
      <c r="F236" s="418"/>
      <c r="G236" s="422"/>
      <c r="H236" s="576" t="s">
        <v>12</v>
      </c>
      <c r="I236" s="427"/>
      <c r="J236" s="427"/>
      <c r="K236" s="428"/>
      <c r="L236" s="425">
        <f ca="1">L247+L258</f>
        <v>0</v>
      </c>
      <c r="M236" s="428"/>
      <c r="N236" s="425">
        <f>N247+N258</f>
        <v>0</v>
      </c>
      <c r="O236" s="428"/>
      <c r="P236" s="428"/>
    </row>
    <row r="237" spans="1:16" ht="19.5" hidden="1" x14ac:dyDescent="0.3">
      <c r="A237" s="532"/>
      <c r="B237" s="430"/>
      <c r="C237" s="680" t="s">
        <v>16</v>
      </c>
      <c r="D237" s="569" t="s">
        <v>36</v>
      </c>
      <c r="E237" s="529"/>
      <c r="F237" s="529"/>
      <c r="G237" s="528"/>
      <c r="H237" s="527"/>
      <c r="I237" s="526"/>
      <c r="J237" s="427"/>
      <c r="K237" s="428"/>
      <c r="L237" s="428"/>
      <c r="M237" s="428"/>
      <c r="N237" s="428"/>
      <c r="O237" s="525"/>
      <c r="P237" s="525"/>
    </row>
    <row r="238" spans="1:16" ht="18.75" hidden="1" x14ac:dyDescent="0.25">
      <c r="A238" s="532"/>
      <c r="B238" s="430"/>
      <c r="C238" s="430"/>
      <c r="D238" s="421" t="s">
        <v>102</v>
      </c>
      <c r="E238" s="420"/>
      <c r="F238" s="420"/>
      <c r="G238" s="527"/>
      <c r="H238" s="566" t="s">
        <v>33</v>
      </c>
      <c r="I238" s="424">
        <f ca="1">I249+I260</f>
        <v>0</v>
      </c>
      <c r="J238" s="424">
        <f>J249+J260</f>
        <v>0</v>
      </c>
      <c r="K238" s="425">
        <f ca="1">IF(I238&gt;0,J238*100/I238,0)</f>
        <v>0</v>
      </c>
      <c r="L238" s="428"/>
      <c r="M238" s="428"/>
      <c r="N238" s="428"/>
      <c r="O238" s="428"/>
      <c r="P238" s="428"/>
    </row>
    <row r="239" spans="1:16" ht="18.75" hidden="1" x14ac:dyDescent="0.25">
      <c r="A239" s="532"/>
      <c r="B239" s="430"/>
      <c r="C239" s="430"/>
      <c r="D239" s="679" t="s">
        <v>41</v>
      </c>
      <c r="E239" s="420"/>
      <c r="F239" s="420"/>
      <c r="G239" s="527"/>
      <c r="H239" s="527"/>
      <c r="I239" s="427"/>
      <c r="J239" s="427"/>
      <c r="K239" s="428"/>
      <c r="L239" s="428"/>
      <c r="M239" s="428"/>
      <c r="N239" s="428"/>
      <c r="O239" s="525"/>
      <c r="P239" s="525"/>
    </row>
    <row r="240" spans="1:16" ht="18.75" hidden="1" x14ac:dyDescent="0.25">
      <c r="A240" s="532"/>
      <c r="B240" s="430"/>
      <c r="C240" s="430"/>
      <c r="D240" s="430"/>
      <c r="E240" s="567" t="s">
        <v>103</v>
      </c>
      <c r="F240" s="420"/>
      <c r="G240" s="527"/>
      <c r="H240" s="566" t="s">
        <v>33</v>
      </c>
      <c r="I240" s="424">
        <f>I251+I262</f>
        <v>0</v>
      </c>
      <c r="J240" s="424">
        <f>J251+J262</f>
        <v>0</v>
      </c>
      <c r="K240" s="425">
        <f>IF(I240&gt;0,J240*100/I240,0)</f>
        <v>0</v>
      </c>
      <c r="L240" s="428"/>
      <c r="M240" s="428"/>
      <c r="N240" s="428"/>
      <c r="O240" s="428"/>
      <c r="P240" s="428"/>
    </row>
    <row r="241" spans="1:16" ht="18.75" hidden="1" x14ac:dyDescent="0.25">
      <c r="A241" s="532"/>
      <c r="B241" s="430"/>
      <c r="C241" s="430"/>
      <c r="D241" s="430"/>
      <c r="E241" s="567" t="s">
        <v>104</v>
      </c>
      <c r="F241" s="420"/>
      <c r="G241" s="527"/>
      <c r="H241" s="566" t="s">
        <v>54</v>
      </c>
      <c r="I241" s="424">
        <f>I252+I263</f>
        <v>0</v>
      </c>
      <c r="J241" s="424">
        <f>J252+J263</f>
        <v>0</v>
      </c>
      <c r="K241" s="425">
        <f>IF(I241&gt;0,J241*100/I241,0)</f>
        <v>0</v>
      </c>
      <c r="L241" s="428"/>
      <c r="M241" s="428"/>
      <c r="N241" s="428"/>
      <c r="O241" s="428"/>
      <c r="P241" s="428"/>
    </row>
    <row r="242" spans="1:16" ht="19.5" hidden="1" x14ac:dyDescent="0.3">
      <c r="A242" s="432"/>
      <c r="B242" s="434"/>
      <c r="C242" s="678" t="s">
        <v>105</v>
      </c>
      <c r="D242" s="433"/>
      <c r="E242" s="433"/>
      <c r="F242" s="433"/>
      <c r="G242" s="436"/>
      <c r="H242" s="677" t="s">
        <v>33</v>
      </c>
      <c r="I242" s="676">
        <f ca="1">I249</f>
        <v>0</v>
      </c>
      <c r="J242" s="676">
        <f>J249</f>
        <v>0</v>
      </c>
      <c r="K242" s="675">
        <f ca="1">IF(I242&gt;0,J242*100/I242,0)</f>
        <v>0</v>
      </c>
      <c r="L242" s="571"/>
      <c r="M242" s="571"/>
      <c r="N242" s="571"/>
      <c r="O242" s="571"/>
      <c r="P242" s="571"/>
    </row>
    <row r="243" spans="1:16" ht="19.5" hidden="1" x14ac:dyDescent="0.3">
      <c r="A243" s="535"/>
      <c r="B243" s="418"/>
      <c r="C243" s="531" t="s">
        <v>16</v>
      </c>
      <c r="D243" s="541" t="s">
        <v>17</v>
      </c>
      <c r="E243" s="418"/>
      <c r="F243" s="418"/>
      <c r="G243" s="422"/>
      <c r="H243" s="673" t="s">
        <v>12</v>
      </c>
      <c r="I243" s="526"/>
      <c r="J243" s="526"/>
      <c r="K243" s="525"/>
      <c r="L243" s="539">
        <f ca="1">L244+L245+L246+L247</f>
        <v>0</v>
      </c>
      <c r="M243" s="428"/>
      <c r="N243" s="539">
        <f>N244+N245+N246+N247</f>
        <v>0</v>
      </c>
      <c r="O243" s="539">
        <f ca="1">IF(L243&gt;0,N243*100/L243,0)</f>
        <v>0</v>
      </c>
      <c r="P243" s="539">
        <f>IF(M243&gt;0,N243*100/M243,0)</f>
        <v>0</v>
      </c>
    </row>
    <row r="244" spans="1:16" ht="18.75" hidden="1" x14ac:dyDescent="0.25">
      <c r="A244" s="535"/>
      <c r="B244" s="419"/>
      <c r="C244" s="418"/>
      <c r="D244" s="534" t="s">
        <v>80</v>
      </c>
      <c r="E244" s="418"/>
      <c r="F244" s="418"/>
      <c r="G244" s="422"/>
      <c r="H244" s="536" t="s">
        <v>12</v>
      </c>
      <c r="I244" s="526"/>
      <c r="J244" s="526"/>
      <c r="K244" s="525"/>
      <c r="L244" s="521">
        <f ca="1">IFERROR(__xludf.DUMMYFUNCTION("IMPORTRANGE(""https://docs.google.com/spreadsheets/d/1eHaY18a8A9IcSdp1K8H6x8fbOy06t2VsZHhMHf-1x7Y/edit?usp=sharing"",""แผน!AX46"")"),0)</f>
        <v>0</v>
      </c>
      <c r="M244" s="428"/>
      <c r="N244" s="672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34" t="s">
        <v>82</v>
      </c>
      <c r="E245" s="418"/>
      <c r="F245" s="418"/>
      <c r="G245" s="422"/>
      <c r="H245" s="536" t="s">
        <v>12</v>
      </c>
      <c r="I245" s="427"/>
      <c r="J245" s="427"/>
      <c r="K245" s="428"/>
      <c r="L245" s="521">
        <f ca="1">IFERROR(__xludf.DUMMYFUNCTION("IMPORTRANGE(""https://docs.google.com/spreadsheets/d/1eHaY18a8A9IcSdp1K8H6x8fbOy06t2VsZHhMHf-1x7Y/edit?usp=sharing"",""แผน!AY46"")"),0)</f>
        <v>0</v>
      </c>
      <c r="M245" s="428"/>
      <c r="N245" s="672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34" t="s">
        <v>100</v>
      </c>
      <c r="E246" s="418"/>
      <c r="F246" s="418"/>
      <c r="G246" s="422"/>
      <c r="H246" s="536" t="s">
        <v>12</v>
      </c>
      <c r="I246" s="427"/>
      <c r="J246" s="427"/>
      <c r="K246" s="428"/>
      <c r="L246" s="521">
        <f ca="1">IFERROR(__xludf.DUMMYFUNCTION("IMPORTRANGE(""https://docs.google.com/spreadsheets/d/1eHaY18a8A9IcSdp1K8H6x8fbOy06t2VsZHhMHf-1x7Y/edit?usp=sharing"",""แผน!AZ46"")"),0)</f>
        <v>0</v>
      </c>
      <c r="M246" s="428"/>
      <c r="N246" s="672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34" t="s">
        <v>101</v>
      </c>
      <c r="E247" s="418"/>
      <c r="F247" s="418"/>
      <c r="G247" s="422"/>
      <c r="H247" s="536" t="s">
        <v>12</v>
      </c>
      <c r="I247" s="427"/>
      <c r="J247" s="427"/>
      <c r="K247" s="428"/>
      <c r="L247" s="521">
        <f ca="1">IFERROR(__xludf.DUMMYFUNCTION("IMPORTRANGE(""https://docs.google.com/spreadsheets/d/1eHaY18a8A9IcSdp1K8H6x8fbOy06t2VsZHhMHf-1x7Y/edit?usp=sharing"",""แผน!BA46"")"),0)</f>
        <v>0</v>
      </c>
      <c r="M247" s="428"/>
      <c r="N247" s="672">
        <v>0</v>
      </c>
      <c r="O247" s="428"/>
      <c r="P247" s="428"/>
    </row>
    <row r="248" spans="1:16" ht="19.5" hidden="1" x14ac:dyDescent="0.3">
      <c r="A248" s="532"/>
      <c r="B248" s="430"/>
      <c r="C248" s="671" t="s">
        <v>16</v>
      </c>
      <c r="D248" s="530" t="s">
        <v>36</v>
      </c>
      <c r="E248" s="529"/>
      <c r="F248" s="529"/>
      <c r="G248" s="528"/>
      <c r="H248" s="527"/>
      <c r="I248" s="526"/>
      <c r="J248" s="427"/>
      <c r="K248" s="428"/>
      <c r="L248" s="428"/>
      <c r="M248" s="428"/>
      <c r="N248" s="428"/>
      <c r="O248" s="525"/>
      <c r="P248" s="525"/>
    </row>
    <row r="249" spans="1:16" ht="18.75" hidden="1" x14ac:dyDescent="0.25">
      <c r="A249" s="532"/>
      <c r="B249" s="430"/>
      <c r="C249" s="430"/>
      <c r="D249" s="524" t="s">
        <v>102</v>
      </c>
      <c r="E249" s="420"/>
      <c r="F249" s="420"/>
      <c r="G249" s="527"/>
      <c r="H249" s="668" t="s">
        <v>33</v>
      </c>
      <c r="I249" s="199">
        <f ca="1">IFERROR(__xludf.DUMMYFUNCTION("IMPORTRANGE(""https://docs.google.com/spreadsheets/d/1eHaY18a8A9IcSdp1K8H6x8fbOy06t2VsZHhMHf-1x7Y/edit?usp=sharing"",""แผน!BG46"")"),0)</f>
        <v>0</v>
      </c>
      <c r="J249" s="522">
        <v>0</v>
      </c>
      <c r="K249" s="521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2"/>
      <c r="B250" s="430"/>
      <c r="C250" s="430"/>
      <c r="D250" s="670" t="s">
        <v>41</v>
      </c>
      <c r="E250" s="420"/>
      <c r="F250" s="420"/>
      <c r="G250" s="527"/>
      <c r="H250" s="527"/>
      <c r="I250" s="427"/>
      <c r="J250" s="427"/>
      <c r="K250" s="428"/>
      <c r="L250" s="428"/>
      <c r="M250" s="428"/>
      <c r="N250" s="428"/>
      <c r="O250" s="525"/>
      <c r="P250" s="525"/>
    </row>
    <row r="251" spans="1:16" ht="18.75" hidden="1" x14ac:dyDescent="0.25">
      <c r="A251" s="532"/>
      <c r="B251" s="430"/>
      <c r="C251" s="430"/>
      <c r="D251" s="430"/>
      <c r="E251" s="669" t="s">
        <v>103</v>
      </c>
      <c r="F251" s="420"/>
      <c r="G251" s="527"/>
      <c r="H251" s="668" t="s">
        <v>33</v>
      </c>
      <c r="I251" s="199">
        <v>0</v>
      </c>
      <c r="J251" s="522">
        <v>0</v>
      </c>
      <c r="K251" s="521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2"/>
      <c r="B252" s="430"/>
      <c r="C252" s="430"/>
      <c r="D252" s="430"/>
      <c r="E252" s="669" t="s">
        <v>104</v>
      </c>
      <c r="F252" s="420"/>
      <c r="G252" s="527"/>
      <c r="H252" s="668" t="s">
        <v>54</v>
      </c>
      <c r="I252" s="199">
        <v>0</v>
      </c>
      <c r="J252" s="522">
        <v>0</v>
      </c>
      <c r="K252" s="521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78" t="s">
        <v>106</v>
      </c>
      <c r="D253" s="433"/>
      <c r="E253" s="433"/>
      <c r="F253" s="433"/>
      <c r="G253" s="436"/>
      <c r="H253" s="677" t="s">
        <v>33</v>
      </c>
      <c r="I253" s="676">
        <f ca="1">I260</f>
        <v>0</v>
      </c>
      <c r="J253" s="676">
        <f>J260</f>
        <v>0</v>
      </c>
      <c r="K253" s="675">
        <f ca="1">IF(I253&gt;0,J253*100/I253,0)</f>
        <v>0</v>
      </c>
      <c r="L253" s="571"/>
      <c r="M253" s="571"/>
      <c r="N253" s="571"/>
      <c r="O253" s="571"/>
      <c r="P253" s="571"/>
    </row>
    <row r="254" spans="1:16" ht="19.5" hidden="1" x14ac:dyDescent="0.3">
      <c r="A254" s="535"/>
      <c r="B254" s="418"/>
      <c r="C254" s="531" t="s">
        <v>16</v>
      </c>
      <c r="D254" s="674" t="s">
        <v>17</v>
      </c>
      <c r="E254" s="418"/>
      <c r="F254" s="418"/>
      <c r="G254" s="422"/>
      <c r="H254" s="673" t="s">
        <v>12</v>
      </c>
      <c r="I254" s="526"/>
      <c r="J254" s="526"/>
      <c r="K254" s="525"/>
      <c r="L254" s="539">
        <f ca="1">L255+L256+L257+L258</f>
        <v>0</v>
      </c>
      <c r="M254" s="428"/>
      <c r="N254" s="539">
        <f>N255+N256+N257+N258</f>
        <v>0</v>
      </c>
      <c r="O254" s="539">
        <f ca="1">IF(L254&gt;0,N254*100/L254,0)</f>
        <v>0</v>
      </c>
      <c r="P254" s="539">
        <f>IF(M254&gt;0,N254*100/M254,0)</f>
        <v>0</v>
      </c>
    </row>
    <row r="255" spans="1:16" ht="18.75" hidden="1" x14ac:dyDescent="0.25">
      <c r="A255" s="535"/>
      <c r="B255" s="419"/>
      <c r="C255" s="418"/>
      <c r="D255" s="534" t="s">
        <v>80</v>
      </c>
      <c r="E255" s="418"/>
      <c r="F255" s="418"/>
      <c r="G255" s="422"/>
      <c r="H255" s="536" t="s">
        <v>12</v>
      </c>
      <c r="I255" s="526"/>
      <c r="J255" s="526"/>
      <c r="K255" s="525"/>
      <c r="L255" s="521">
        <f ca="1">IFERROR(__xludf.DUMMYFUNCTION("IMPORTRANGE(""https://docs.google.com/spreadsheets/d/1eHaY18a8A9IcSdp1K8H6x8fbOy06t2VsZHhMHf-1x7Y/edit?usp=sharing"",""แผน!BB46"")"),0)</f>
        <v>0</v>
      </c>
      <c r="M255" s="428"/>
      <c r="N255" s="672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34" t="s">
        <v>82</v>
      </c>
      <c r="E256" s="418"/>
      <c r="F256" s="418"/>
      <c r="G256" s="422"/>
      <c r="H256" s="536" t="s">
        <v>12</v>
      </c>
      <c r="I256" s="427"/>
      <c r="J256" s="427"/>
      <c r="K256" s="428"/>
      <c r="L256" s="521">
        <f ca="1">IFERROR(__xludf.DUMMYFUNCTION("IMPORTRANGE(""https://docs.google.com/spreadsheets/d/1eHaY18a8A9IcSdp1K8H6x8fbOy06t2VsZHhMHf-1x7Y/edit?usp=sharing"",""แผน!BC46"")"),0)</f>
        <v>0</v>
      </c>
      <c r="M256" s="428"/>
      <c r="N256" s="672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34" t="s">
        <v>100</v>
      </c>
      <c r="E257" s="418"/>
      <c r="F257" s="418"/>
      <c r="G257" s="422"/>
      <c r="H257" s="536" t="s">
        <v>12</v>
      </c>
      <c r="I257" s="427"/>
      <c r="J257" s="427"/>
      <c r="K257" s="428"/>
      <c r="L257" s="521">
        <f ca="1">IFERROR(__xludf.DUMMYFUNCTION("IMPORTRANGE(""https://docs.google.com/spreadsheets/d/1eHaY18a8A9IcSdp1K8H6x8fbOy06t2VsZHhMHf-1x7Y/edit?usp=sharing"",""แผน!BD46"")"),0)</f>
        <v>0</v>
      </c>
      <c r="M257" s="428"/>
      <c r="N257" s="672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34" t="s">
        <v>101</v>
      </c>
      <c r="E258" s="418"/>
      <c r="F258" s="418"/>
      <c r="G258" s="422"/>
      <c r="H258" s="536" t="s">
        <v>12</v>
      </c>
      <c r="I258" s="427"/>
      <c r="J258" s="427"/>
      <c r="K258" s="428"/>
      <c r="L258" s="521">
        <f ca="1">IFERROR(__xludf.DUMMYFUNCTION("IMPORTRANGE(""https://docs.google.com/spreadsheets/d/1eHaY18a8A9IcSdp1K8H6x8fbOy06t2VsZHhMHf-1x7Y/edit?usp=sharing"",""แผน!BE46"")"),0)</f>
        <v>0</v>
      </c>
      <c r="M258" s="428"/>
      <c r="N258" s="672">
        <v>0</v>
      </c>
      <c r="O258" s="428"/>
      <c r="P258" s="428"/>
    </row>
    <row r="259" spans="1:16" ht="19.5" hidden="1" x14ac:dyDescent="0.3">
      <c r="A259" s="532"/>
      <c r="B259" s="430"/>
      <c r="C259" s="671" t="s">
        <v>16</v>
      </c>
      <c r="D259" s="530" t="s">
        <v>36</v>
      </c>
      <c r="E259" s="529"/>
      <c r="F259" s="529"/>
      <c r="G259" s="528"/>
      <c r="H259" s="527"/>
      <c r="I259" s="526"/>
      <c r="J259" s="427"/>
      <c r="K259" s="428"/>
      <c r="L259" s="428"/>
      <c r="M259" s="428"/>
      <c r="N259" s="428"/>
      <c r="O259" s="525"/>
      <c r="P259" s="525"/>
    </row>
    <row r="260" spans="1:16" ht="18.75" hidden="1" x14ac:dyDescent="0.25">
      <c r="A260" s="532"/>
      <c r="B260" s="430"/>
      <c r="C260" s="430"/>
      <c r="D260" s="524" t="s">
        <v>102</v>
      </c>
      <c r="E260" s="420"/>
      <c r="F260" s="420"/>
      <c r="G260" s="527"/>
      <c r="H260" s="668" t="s">
        <v>33</v>
      </c>
      <c r="I260" s="199">
        <f ca="1">IFERROR(__xludf.DUMMYFUNCTION("IMPORTRANGE(""https://docs.google.com/spreadsheets/d/1eHaY18a8A9IcSdp1K8H6x8fbOy06t2VsZHhMHf-1x7Y/edit?usp=sharing"",""แผน!BH46"")"),0)</f>
        <v>0</v>
      </c>
      <c r="J260" s="522">
        <v>0</v>
      </c>
      <c r="K260" s="521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2"/>
      <c r="B261" s="430"/>
      <c r="C261" s="430"/>
      <c r="D261" s="670" t="s">
        <v>41</v>
      </c>
      <c r="E261" s="420"/>
      <c r="F261" s="420"/>
      <c r="G261" s="527"/>
      <c r="H261" s="527"/>
      <c r="I261" s="427"/>
      <c r="J261" s="427"/>
      <c r="K261" s="428"/>
      <c r="L261" s="428"/>
      <c r="M261" s="428"/>
      <c r="N261" s="428"/>
      <c r="O261" s="525"/>
      <c r="P261" s="525"/>
    </row>
    <row r="262" spans="1:16" ht="18.75" hidden="1" x14ac:dyDescent="0.25">
      <c r="A262" s="532"/>
      <c r="B262" s="430"/>
      <c r="C262" s="430"/>
      <c r="D262" s="430"/>
      <c r="E262" s="669" t="s">
        <v>103</v>
      </c>
      <c r="F262" s="420"/>
      <c r="G262" s="527"/>
      <c r="H262" s="668" t="s">
        <v>33</v>
      </c>
      <c r="I262" s="427"/>
      <c r="J262" s="522">
        <v>0</v>
      </c>
      <c r="K262" s="521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2"/>
      <c r="B263" s="430"/>
      <c r="C263" s="430"/>
      <c r="D263" s="430"/>
      <c r="E263" s="669" t="s">
        <v>104</v>
      </c>
      <c r="F263" s="420"/>
      <c r="G263" s="527"/>
      <c r="H263" s="668" t="s">
        <v>54</v>
      </c>
      <c r="I263" s="427"/>
      <c r="J263" s="522">
        <v>0</v>
      </c>
      <c r="K263" s="521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IFERROR(__xludf.DUMMYFUNCTION("IMPORTRANGE(""https://docs.google.com/spreadsheets/d/1-uDff_7J0KD5mKrp0Vvzr7lt3OU09vwQwhkpOPPYv2Y/edit?usp=sharing"",""งบพรบ!DE46"")"),0)</f>
        <v>0</v>
      </c>
      <c r="M271" s="521">
        <f ca="1">IFERROR(__xludf.DUMMYFUNCTION("IMPORTRANGE(""https://docs.google.com/spreadsheets/d/1-uDff_7J0KD5mKrp0Vvzr7lt3OU09vwQwhkpOPPYv2Y/edit?usp=sharing"",""งบพรบ!DJ46"")"),0)</f>
        <v>0</v>
      </c>
      <c r="N271" s="521">
        <f ca="1">IFERROR(__xludf.DUMMYFUNCTION("IMPORTRANGE(""https://docs.google.com/spreadsheets/d/1-uDff_7J0KD5mKrp0Vvzr7lt3OU09vwQwhkpOPPYv2Y/edit?usp=sharing"",""งบพรบ!DL46"")"),0)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IFERROR(__xludf.DUMMYFUNCTION("IMPORTRANGE(""https://docs.google.com/spreadsheets/d/1-uDff_7J0KD5mKrp0Vvzr7lt3OU09vwQwhkpOPPYv2Y/edit?usp=sharing"",""งบพรบ!DH46"")"),0)</f>
        <v>0</v>
      </c>
      <c r="M274" s="521">
        <f ca="1">IFERROR(__xludf.DUMMYFUNCTION("IMPORTRANGE(""https://docs.google.com/spreadsheets/d/1-uDff_7J0KD5mKrp0Vvzr7lt3OU09vwQwhkpOPPYv2Y/edit?usp=sharing"",""งบพรบ!DK46"")"),0)</f>
        <v>0</v>
      </c>
      <c r="N274" s="521">
        <f ca="1">IFERROR(__xludf.DUMMYFUNCTION("IMPORTRANGE(""https://docs.google.com/spreadsheets/d/1-uDff_7J0KD5mKrp0Vvzr7lt3OU09vwQwhkpOPPYv2Y/edit?usp=sharing"",""งบพรบ!DM46"")"),0)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20</v>
      </c>
      <c r="J280" s="629">
        <f>J293</f>
        <v>0</v>
      </c>
      <c r="K280" s="628">
        <f ca="1">IF(I280&gt;0,J280*100/I280,0)</f>
        <v>0</v>
      </c>
      <c r="L280" s="627"/>
      <c r="M280" s="627"/>
      <c r="N280" s="627"/>
      <c r="O280" s="627"/>
      <c r="P280" s="627"/>
    </row>
    <row r="281" spans="1:16" ht="19.5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200</v>
      </c>
      <c r="J281" s="629">
        <f>J292</f>
        <v>0</v>
      </c>
      <c r="K281" s="628">
        <f ca="1">IF(I281&gt;0,J281*100/I281,0)</f>
        <v>0</v>
      </c>
      <c r="L281" s="627"/>
      <c r="M281" s="627"/>
      <c r="N281" s="627"/>
      <c r="O281" s="627"/>
      <c r="P281" s="627"/>
    </row>
    <row r="282" spans="1:16" ht="19.5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153520</v>
      </c>
      <c r="M282" s="577">
        <f ca="1">M283+M284</f>
        <v>118480</v>
      </c>
      <c r="N282" s="577">
        <f ca="1">N283+N284</f>
        <v>34044.9</v>
      </c>
      <c r="O282" s="577">
        <f ca="1">IF(L282&gt;0,N282*100/L282,0)</f>
        <v>22.176198540906721</v>
      </c>
      <c r="P282" s="577">
        <f ca="1">IF(M282&gt;0,N282*100/M282,0)</f>
        <v>28.734723160027009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153520</v>
      </c>
      <c r="M284" s="425">
        <f ca="1">M287+M290</f>
        <v>118480</v>
      </c>
      <c r="N284" s="425">
        <f ca="1">N287+N290</f>
        <v>34044.9</v>
      </c>
      <c r="O284" s="425">
        <f ca="1">IF(L284&gt;0,N284*100/L284,0)</f>
        <v>22.176198540906721</v>
      </c>
      <c r="P284" s="425">
        <f ca="1">IF(M284&gt;0,N284*100/M284,0)</f>
        <v>28.734723160027009</v>
      </c>
    </row>
    <row r="285" spans="1:16" ht="18.75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153520</v>
      </c>
      <c r="M285" s="425">
        <f ca="1">M286+M287</f>
        <v>118480</v>
      </c>
      <c r="N285" s="425">
        <f ca="1">N286+N287</f>
        <v>34044.9</v>
      </c>
      <c r="O285" s="425">
        <f ca="1">IF(L285&gt;0,N285*100/L285,0)</f>
        <v>22.176198540906721</v>
      </c>
      <c r="P285" s="425">
        <f ca="1">IF(M285&gt;0,N285*100/M285,0)</f>
        <v>28.734723160027009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IFERROR(__xludf.DUMMYFUNCTION("IMPORTRANGE(""https://docs.google.com/spreadsheets/d/1-uDff_7J0KD5mKrp0Vvzr7lt3OU09vwQwhkpOPPYv2Y/edit?usp=sharing"",""งบพรบ!DO46"")"),153520)</f>
        <v>153520</v>
      </c>
      <c r="M287" s="425">
        <f ca="1">IFERROR(__xludf.DUMMYFUNCTION("IMPORTRANGE(""https://docs.google.com/spreadsheets/d/1-uDff_7J0KD5mKrp0Vvzr7lt3OU09vwQwhkpOPPYv2Y/edit?usp=sharing"",""งบพรบ!DT46"")"),118480)</f>
        <v>118480</v>
      </c>
      <c r="N287" s="425">
        <f ca="1">IFERROR(__xludf.DUMMYFUNCTION("IMPORTRANGE(""https://docs.google.com/spreadsheets/d/1-uDff_7J0KD5mKrp0Vvzr7lt3OU09vwQwhkpOPPYv2Y/edit?usp=sharing"",""งบพรบ!DV46"")"),34044.9)</f>
        <v>34044.9</v>
      </c>
      <c r="O287" s="425">
        <f ca="1">IF(L287&gt;0,N287*100/L287,0)</f>
        <v>22.176198540906721</v>
      </c>
      <c r="P287" s="425">
        <f ca="1">IF(M287&gt;0,N287*100/M287,0)</f>
        <v>28.734723160027009</v>
      </c>
    </row>
    <row r="288" spans="1:16" ht="18.75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IFERROR(__xludf.DUMMYFUNCTION("IMPORTRANGE(""https://docs.google.com/spreadsheets/d/1-uDff_7J0KD5mKrp0Vvzr7lt3OU09vwQwhkpOPPYv2Y/edit?usp=sharing"",""งบพรบ!DR46"")"),0)</f>
        <v>0</v>
      </c>
      <c r="M290" s="425">
        <f ca="1">IFERROR(__xludf.DUMMYFUNCTION("IMPORTRANGE(""https://docs.google.com/spreadsheets/d/1-uDff_7J0KD5mKrp0Vvzr7lt3OU09vwQwhkpOPPYv2Y/edit?usp=sharing"",""งบพรบ!DU46"")"),0)</f>
        <v>0</v>
      </c>
      <c r="N290" s="425">
        <f ca="1">IFERROR(__xludf.DUMMYFUNCTION("IMPORTRANGE(""https://docs.google.com/spreadsheets/d/1-uDff_7J0KD5mKrp0Vvzr7lt3OU09vwQwhkpOPPYv2Y/edit?usp=sharing"",""งบพรบ!DW46"")"),0)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IFERROR(__xludf.DUMMYFUNCTION("IMPORTRANGE(""https://docs.google.com/spreadsheets/d/1eHaY18a8A9IcSdp1K8H6x8fbOy06t2VsZHhMHf-1x7Y/edit?usp=sharing"",""แผน!EE46"")"),200)</f>
        <v>200</v>
      </c>
      <c r="J292" s="595">
        <v>0</v>
      </c>
      <c r="K292" s="621">
        <f ca="1">IF(I292&gt;0,J292*100/I292,0)</f>
        <v>0</v>
      </c>
      <c r="L292" s="525"/>
      <c r="M292" s="525"/>
      <c r="N292" s="525"/>
      <c r="O292" s="525"/>
      <c r="P292" s="525"/>
    </row>
    <row r="293" spans="1:16" ht="19.5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IFERROR(__xludf.DUMMYFUNCTION("IMPORTRANGE(""https://docs.google.com/spreadsheets/d/1eHaY18a8A9IcSdp1K8H6x8fbOy06t2VsZHhMHf-1x7Y/edit?usp=sharing"",""แผน!ED46"")"),20)</f>
        <v>20</v>
      </c>
      <c r="J293" s="625">
        <f>J296</f>
        <v>0</v>
      </c>
      <c r="K293" s="624">
        <f ca="1">IF(I293&gt;0,J293*100/I293,0)</f>
        <v>0</v>
      </c>
      <c r="L293" s="525"/>
      <c r="M293" s="525"/>
      <c r="N293" s="525"/>
      <c r="O293" s="525"/>
      <c r="P293" s="525"/>
    </row>
    <row r="294" spans="1:16" ht="19.5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IFERROR(__xludf.DUMMYFUNCTION("IMPORTRANGE(""https://docs.google.com/spreadsheets/d/1eHaY18a8A9IcSdp1K8H6x8fbOy06t2VsZHhMHf-1x7Y/edit?usp=sharing"",""แผน!ED46"")"),20)</f>
        <v>20</v>
      </c>
      <c r="J295" s="595">
        <v>0</v>
      </c>
      <c r="K295" s="621">
        <f ca="1">IF(I295&gt;0,J295*100/I295,0)</f>
        <v>0</v>
      </c>
      <c r="L295" s="525"/>
      <c r="M295" s="525"/>
      <c r="N295" s="525"/>
      <c r="O295" s="525"/>
      <c r="P295" s="525"/>
    </row>
    <row r="296" spans="1:16" ht="19.5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IFERROR(__xludf.DUMMYFUNCTION("IMPORTRANGE(""https://docs.google.com/spreadsheets/d/1eHaY18a8A9IcSdp1K8H6x8fbOy06t2VsZHhMHf-1x7Y/edit?usp=sharing"",""แผน!ED46"")"),20)</f>
        <v>20</v>
      </c>
      <c r="J296" s="595">
        <v>0</v>
      </c>
      <c r="K296" s="621">
        <f ca="1">IF(I296&gt;0,J296*100/I296,0)</f>
        <v>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20</v>
      </c>
      <c r="J302" s="598">
        <f>J314</f>
        <v>0</v>
      </c>
      <c r="K302" s="597">
        <f ca="1">IF(I302&gt;0,J302*100/I302,0)</f>
        <v>0</v>
      </c>
      <c r="L302" s="580"/>
      <c r="M302" s="580"/>
      <c r="N302" s="580"/>
      <c r="O302" s="580"/>
      <c r="P302" s="580"/>
    </row>
    <row r="303" spans="1:16" ht="19.5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82400</v>
      </c>
      <c r="M303" s="577">
        <f ca="1">M304+M305</f>
        <v>64400</v>
      </c>
      <c r="N303" s="577">
        <f ca="1">N304+N305</f>
        <v>0</v>
      </c>
      <c r="O303" s="577">
        <f ca="1">IF(L303&gt;0,N303*100/L303,0)</f>
        <v>0</v>
      </c>
      <c r="P303" s="577">
        <f ca="1">IF(M303&gt;0,N303*100/M303,0)</f>
        <v>0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82400</v>
      </c>
      <c r="M305" s="425">
        <f ca="1">M308+M311</f>
        <v>64400</v>
      </c>
      <c r="N305" s="425">
        <f ca="1">N308+N311</f>
        <v>0</v>
      </c>
      <c r="O305" s="425">
        <f ca="1">IF(L305&gt;0,N305*100/L305,0)</f>
        <v>0</v>
      </c>
      <c r="P305" s="425">
        <f ca="1">IF(M305&gt;0,N305*100/M305,0)</f>
        <v>0</v>
      </c>
    </row>
    <row r="306" spans="1:16" ht="18.75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82400</v>
      </c>
      <c r="M306" s="425">
        <f ca="1">M307+M308</f>
        <v>64400</v>
      </c>
      <c r="N306" s="425">
        <f ca="1">N307+N308</f>
        <v>0</v>
      </c>
      <c r="O306" s="425">
        <f ca="1">IF(L306&gt;0,N306*100/L306,0)</f>
        <v>0</v>
      </c>
      <c r="P306" s="425">
        <f ca="1">IF(M306&gt;0,N306*100/M306,0)</f>
        <v>0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IFERROR(__xludf.DUMMYFUNCTION("IMPORTRANGE(""https://docs.google.com/spreadsheets/d/1-uDff_7J0KD5mKrp0Vvzr7lt3OU09vwQwhkpOPPYv2Y/edit?usp=sharing"",""งบพรบ!DY46"")"),82400)</f>
        <v>82400</v>
      </c>
      <c r="M308" s="425">
        <f ca="1">IFERROR(__xludf.DUMMYFUNCTION("IMPORTRANGE(""https://docs.google.com/spreadsheets/d/1-uDff_7J0KD5mKrp0Vvzr7lt3OU09vwQwhkpOPPYv2Y/edit?usp=sharing"",""งบพรบ!ED46"")"),64400)</f>
        <v>64400</v>
      </c>
      <c r="N308" s="425">
        <f ca="1">IFERROR(__xludf.DUMMYFUNCTION("IMPORTRANGE(""https://docs.google.com/spreadsheets/d/1-uDff_7J0KD5mKrp0Vvzr7lt3OU09vwQwhkpOPPYv2Y/edit?usp=sharing"",""งบพรบ!EF46"")"),0)</f>
        <v>0</v>
      </c>
      <c r="O308" s="425">
        <f ca="1">IF(L308&gt;0,N308*100/L308,0)</f>
        <v>0</v>
      </c>
      <c r="P308" s="425">
        <f ca="1">IF(M308&gt;0,N308*100/M308,0)</f>
        <v>0</v>
      </c>
    </row>
    <row r="309" spans="1:16" ht="18.75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IFERROR(__xludf.DUMMYFUNCTION("IMPORTRANGE(""https://docs.google.com/spreadsheets/d/1-uDff_7J0KD5mKrp0Vvzr7lt3OU09vwQwhkpOPPYv2Y/edit?usp=sharing"",""งบพรบ!EB46"")"),0)</f>
        <v>0</v>
      </c>
      <c r="M311" s="425">
        <f ca="1">IFERROR(__xludf.DUMMYFUNCTION("IMPORTRANGE(""https://docs.google.com/spreadsheets/d/1-uDff_7J0KD5mKrp0Vvzr7lt3OU09vwQwhkpOPPYv2Y/edit?usp=sharing"",""งบพรบ!EE46"")"),0)</f>
        <v>0</v>
      </c>
      <c r="N311" s="425">
        <f ca="1">IFERROR(__xludf.DUMMYFUNCTION("IMPORTRANGE(""https://docs.google.com/spreadsheets/d/1-uDff_7J0KD5mKrp0Vvzr7lt3OU09vwQwhkpOPPYv2Y/edit?usp=sharing"",""งบพรบ!EG46"")"),0)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0</v>
      </c>
      <c r="K313" s="428"/>
      <c r="L313" s="428"/>
      <c r="M313" s="428"/>
      <c r="N313" s="428"/>
      <c r="O313" s="428"/>
      <c r="P313" s="428"/>
    </row>
    <row r="314" spans="1:16" ht="18.75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IFERROR(__xludf.DUMMYFUNCTION("IMPORTRANGE(""https://docs.google.com/spreadsheets/d/1eHaY18a8A9IcSdp1K8H6x8fbOy06t2VsZHhMHf-1x7Y/edit?usp=sharing"",""แผน!EF46"")"),20)</f>
        <v>20</v>
      </c>
      <c r="J314" s="595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IFERROR(__xludf.DUMMYFUNCTION("IMPORTRANGE(""https://docs.google.com/spreadsheets/d/1eHaY18a8A9IcSdp1K8H6x8fbOy06t2VsZHhMHf-1x7Y/edit?usp=sharing"",""แผน!EG46"")"),4)</f>
        <v>4</v>
      </c>
      <c r="J315" s="595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IFERROR(__xludf.DUMMYFUNCTION("IMPORTRANGE(""https://docs.google.com/spreadsheets/d/1eHaY18a8A9IcSdp1K8H6x8fbOy06t2VsZHhMHf-1x7Y/edit?usp=sharing"",""แผน!EH46"")"),20)</f>
        <v>20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424">
        <f ca="1">IFERROR(__xludf.DUMMYFUNCTION("IMPORTRANGE(""https://docs.google.com/spreadsheets/d/1eHaY18a8A9IcSdp1K8H6x8fbOy06t2VsZHhMHf-1x7Y/edit?usp=sharing"",""แผน!EI46"")"),4)</f>
        <v>4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hidden="1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0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hidden="1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0</v>
      </c>
      <c r="M320" s="577">
        <f ca="1">M321+M322</f>
        <v>0</v>
      </c>
      <c r="N320" s="577">
        <f ca="1">N321+N322</f>
        <v>0</v>
      </c>
      <c r="O320" s="577">
        <f ca="1">IF(L320&gt;0,N320*100/L320,0)</f>
        <v>0</v>
      </c>
      <c r="P320" s="577">
        <f ca="1">IF(M320&gt;0,N320*100/M320,0)</f>
        <v>0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hidden="1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hidden="1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IFERROR(__xludf.DUMMYFUNCTION("IMPORTRANGE(""https://docs.google.com/spreadsheets/d/1-uDff_7J0KD5mKrp0Vvzr7lt3OU09vwQwhkpOPPYv2Y/edit?usp=sharing"",""งบพรบ!EI46"")"),0)</f>
        <v>0</v>
      </c>
      <c r="M325" s="425">
        <f ca="1">IFERROR(__xludf.DUMMYFUNCTION("IMPORTRANGE(""https://docs.google.com/spreadsheets/d/1-uDff_7J0KD5mKrp0Vvzr7lt3OU09vwQwhkpOPPYv2Y/edit?usp=sharing"",""งบพรบ!EN46"")"),0)</f>
        <v>0</v>
      </c>
      <c r="N325" s="425">
        <f ca="1">IFERROR(__xludf.DUMMYFUNCTION("IMPORTRANGE(""https://docs.google.com/spreadsheets/d/1-uDff_7J0KD5mKrp0Vvzr7lt3OU09vwQwhkpOPPYv2Y/edit?usp=sharing"",""งบพรบ!EP46"")"),0)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hidden="1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IFERROR(__xludf.DUMMYFUNCTION("IMPORTRANGE(""https://docs.google.com/spreadsheets/d/1-uDff_7J0KD5mKrp0Vvzr7lt3OU09vwQwhkpOPPYv2Y/edit?usp=sharing"",""งบพรบ!EL46"")"),0)</f>
        <v>0</v>
      </c>
      <c r="M328" s="425">
        <f ca="1">IFERROR(__xludf.DUMMYFUNCTION("IMPORTRANGE(""https://docs.google.com/spreadsheets/d/1-uDff_7J0KD5mKrp0Vvzr7lt3OU09vwQwhkpOPPYv2Y/edit?usp=sharing"",""งบพรบ!EO46"")"),0)</f>
        <v>0</v>
      </c>
      <c r="N328" s="425">
        <f ca="1">IFERROR(__xludf.DUMMYFUNCTION("IMPORTRANGE(""https://docs.google.com/spreadsheets/d/1-uDff_7J0KD5mKrp0Vvzr7lt3OU09vwQwhkpOPPYv2Y/edit?usp=sharing"",""งบพรบ!EQ46"")"),0)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hidden="1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IFERROR(__xludf.DUMMYFUNCTION("IMPORTRANGE(""https://docs.google.com/spreadsheets/d/1eHaY18a8A9IcSdp1K8H6x8fbOy06t2VsZHhMHf-1x7Y/edit?usp=sharing"",""แผน!EJ46"")"),0)</f>
        <v>0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3540</v>
      </c>
      <c r="J332" s="402">
        <f ca="1">J344+J347+J348+J349+J353</f>
        <v>3414</v>
      </c>
      <c r="K332" s="403">
        <f ca="1">IF(I332&gt;0,J332*100/I332,0)</f>
        <v>96.440677966101688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112000</v>
      </c>
      <c r="M333" s="577">
        <f ca="1">M334+M335</f>
        <v>90550</v>
      </c>
      <c r="N333" s="577">
        <f ca="1">N334+N335</f>
        <v>43583</v>
      </c>
      <c r="O333" s="577">
        <f ca="1">IF(L333&gt;0,N333*100/L333,0)</f>
        <v>38.91339285714286</v>
      </c>
      <c r="P333" s="577">
        <f ca="1">IF(M333&gt;0,N333*100/M333,0)</f>
        <v>48.131419105466591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112000</v>
      </c>
      <c r="M335" s="425">
        <f ca="1">M338+M341</f>
        <v>90550</v>
      </c>
      <c r="N335" s="425">
        <f ca="1">N338+N341</f>
        <v>43583</v>
      </c>
      <c r="O335" s="425">
        <f ca="1">IF(L335&gt;0,N335*100/L335,0)</f>
        <v>38.91339285714286</v>
      </c>
      <c r="P335" s="425">
        <f ca="1">IF(M335&gt;0,N335*100/M335,0)</f>
        <v>48.131419105466591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112000</v>
      </c>
      <c r="M336" s="425">
        <f ca="1">M337+M338</f>
        <v>90550</v>
      </c>
      <c r="N336" s="425">
        <f ca="1">N337+N338</f>
        <v>43583</v>
      </c>
      <c r="O336" s="425">
        <f ca="1">IF(L336&gt;0,N336*100/L336,0)</f>
        <v>38.91339285714286</v>
      </c>
      <c r="P336" s="425">
        <f ca="1">IF(M336&gt;0,N336*100/M336,0)</f>
        <v>48.131419105466591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IFERROR(__xludf.DUMMYFUNCTION("IMPORTRANGE(""https://docs.google.com/spreadsheets/d/1-uDff_7J0KD5mKrp0Vvzr7lt3OU09vwQwhkpOPPYv2Y/edit?usp=sharing"",""งบพรบ!ES46"")"),112000)</f>
        <v>112000</v>
      </c>
      <c r="M338" s="425">
        <f ca="1">IFERROR(__xludf.DUMMYFUNCTION("IMPORTRANGE(""https://docs.google.com/spreadsheets/d/1-uDff_7J0KD5mKrp0Vvzr7lt3OU09vwQwhkpOPPYv2Y/edit?usp=sharing"",""งบพรบ!EX46"")"),90550)</f>
        <v>90550</v>
      </c>
      <c r="N338" s="425">
        <f ca="1">IFERROR(__xludf.DUMMYFUNCTION("IMPORTRANGE(""https://docs.google.com/spreadsheets/d/1-uDff_7J0KD5mKrp0Vvzr7lt3OU09vwQwhkpOPPYv2Y/edit?usp=sharing"",""งบพรบ!EZ46"")"),43583)</f>
        <v>43583</v>
      </c>
      <c r="O338" s="425">
        <f ca="1">IF(L338&gt;0,N338*100/L338,0)</f>
        <v>38.91339285714286</v>
      </c>
      <c r="P338" s="425">
        <f ca="1">IF(M338&gt;0,N338*100/M338,0)</f>
        <v>48.131419105466591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IFERROR(__xludf.DUMMYFUNCTION("IMPORTRANGE(""https://docs.google.com/spreadsheets/d/1-uDff_7J0KD5mKrp0Vvzr7lt3OU09vwQwhkpOPPYv2Y/edit?usp=sharing"",""งบพรบ!EV46"")"),0)</f>
        <v>0</v>
      </c>
      <c r="M341" s="425">
        <f ca="1">IFERROR(__xludf.DUMMYFUNCTION("IMPORTRANGE(""https://docs.google.com/spreadsheets/d/1-uDff_7J0KD5mKrp0Vvzr7lt3OU09vwQwhkpOPPYv2Y/edit?usp=sharing"",""งบพรบ!EY46"")"),0)</f>
        <v>0</v>
      </c>
      <c r="N341" s="425">
        <f ca="1">IFERROR(__xludf.DUMMYFUNCTION("IMPORTRANGE(""https://docs.google.com/spreadsheets/d/1-uDff_7J0KD5mKrp0Vvzr7lt3OU09vwQwhkpOPPYv2Y/edit?usp=sharing"",""งบพรบ!FA46"")"),0)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657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IFERROR(__xludf.DUMMYFUNCTION("IMPORTRANGE(""https://docs.google.com/spreadsheets/d/1eHaY18a8A9IcSdp1K8H6x8fbOy06t2VsZHhMHf-1x7Y/edit?usp=sharing"",""แผน!EK46"")"),3540)</f>
        <v>3540</v>
      </c>
      <c r="J344" s="424">
        <f ca="1">IFERROR(__xludf.DUMMYFUNCTION("IMPORTRANGE(""https://docs.google.com/spreadsheets/d/1awYsYK3VOup2i3Pq_Yjnu8DRu_mYwSBnCR2QPthd0rU/edit?usp=sharing"",""ศูนย์ยกเว้นโฉนด!D46"")"),649)</f>
        <v>649</v>
      </c>
      <c r="K344" s="425">
        <f ca="1">IF(I344&gt;0,J344*100/I344,0)</f>
        <v>18.333333333333332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IFERROR(__xludf.DUMMYFUNCTION("IMPORTRANGE(""https://docs.google.com/spreadsheets/d/1eHaY18a8A9IcSdp1K8H6x8fbOy06t2VsZHhMHf-1x7Y/edit?usp=sharing"",""แผน!EL46"")"),3)</f>
        <v>3</v>
      </c>
      <c r="J346" s="424">
        <f ca="1">IFERROR(__xludf.DUMMYFUNCTION("IMPORTRANGE(""https://docs.google.com/spreadsheets/d/1awYsYK3VOup2i3Pq_Yjnu8DRu_mYwSBnCR2QPthd0rU/edit?usp=sharing"",""ศูนย์รวม!E46"")"),1)</f>
        <v>1</v>
      </c>
      <c r="K346" s="425">
        <f ca="1">IF(I346&gt;0,J346*100/I346,0)</f>
        <v>33.333333333333336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IFERROR(__xludf.DUMMYFUNCTION("IMPORTRANGE(""https://docs.google.com/spreadsheets/d/1awYsYK3VOup2i3Pq_Yjnu8DRu_mYwSBnCR2QPthd0rU/edit?usp=sharing"",""ศูนย์ยกเว้นโฉนด!F46"")"),1)</f>
        <v>1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IFERROR(__xludf.DUMMYFUNCTION("IMPORTRANGE(""https://docs.google.com/spreadsheets/d/1awYsYK3VOup2i3Pq_Yjnu8DRu_mYwSBnCR2QPthd0rU/edit?usp=sharing"",""ศูนย์ยกเว้นโฉนด!G46"")"),7)</f>
        <v>7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IFERROR(__xludf.DUMMYFUNCTION("IMPORTRANGE(""https://docs.google.com/spreadsheets/d/1awYsYK3VOup2i3Pq_Yjnu8DRu_mYwSBnCR2QPthd0rU/edit?usp=sharing"",""ศูนย์ยกเว้นโฉนด!H46"")"),0)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3683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IFERROR(__xludf.DUMMYFUNCTION("IMPORTRANGE(""https://docs.google.com/spreadsheets/d/1awYsYK3VOup2i3Pq_Yjnu8DRu_mYwSBnCR2QPthd0rU/edit?usp=sharing"",""โฉนดM3!G46"")"),926)</f>
        <v>926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IFERROR(__xludf.DUMMYFUNCTION("IMPORTRANGE(""https://docs.google.com/spreadsheets/d/1awYsYK3VOup2i3Pq_Yjnu8DRu_mYwSBnCR2QPthd0rU/edit?usp=sharing"",""โฉนดM3!H46"")"),2757)</f>
        <v>2757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1045540</v>
      </c>
      <c r="M356" s="577">
        <f ca="1">M357+M358</f>
        <v>843940</v>
      </c>
      <c r="N356" s="577">
        <f ca="1">N357+N358</f>
        <v>272220</v>
      </c>
      <c r="O356" s="577">
        <f ca="1">IF(L356&gt;0,N356*100/L356,0)</f>
        <v>26.036306597547679</v>
      </c>
      <c r="P356" s="577">
        <f ca="1">IF(M356&gt;0,N356*100/M356,0)</f>
        <v>32.255847572102283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1045540</v>
      </c>
      <c r="M358" s="425">
        <f ca="1">M361+M364</f>
        <v>843940</v>
      </c>
      <c r="N358" s="425">
        <f ca="1">N361+N364</f>
        <v>272220</v>
      </c>
      <c r="O358" s="425">
        <f ca="1">IF(L358&gt;0,N358*100/L358,0)</f>
        <v>26.036306597547679</v>
      </c>
      <c r="P358" s="425">
        <f ca="1">IF(M358&gt;0,N358*100/M358,0)</f>
        <v>32.255847572102283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1045540</v>
      </c>
      <c r="M359" s="425">
        <f ca="1">M360+M361</f>
        <v>843940</v>
      </c>
      <c r="N359" s="425">
        <f ca="1">N360+N361</f>
        <v>272220</v>
      </c>
      <c r="O359" s="425">
        <f ca="1">IF(L359&gt;0,N359*100/L359,0)</f>
        <v>26.036306597547679</v>
      </c>
      <c r="P359" s="425">
        <f ca="1">IF(M359&gt;0,N359*100/M359,0)</f>
        <v>32.255847572102283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IFERROR(__xludf.DUMMYFUNCTION("IMPORTRANGE(""https://docs.google.com/spreadsheets/d/1-uDff_7J0KD5mKrp0Vvzr7lt3OU09vwQwhkpOPPYv2Y/edit?usp=sharing"",""งบพรบ!FC46"")"),1045540)</f>
        <v>1045540</v>
      </c>
      <c r="M361" s="425">
        <f ca="1">IFERROR(__xludf.DUMMYFUNCTION("IMPORTRANGE(""https://docs.google.com/spreadsheets/d/1-uDff_7J0KD5mKrp0Vvzr7lt3OU09vwQwhkpOPPYv2Y/edit?usp=sharing"",""งบพรบ!FH46"")"),843940)</f>
        <v>843940</v>
      </c>
      <c r="N361" s="425">
        <f ca="1">IFERROR(__xludf.DUMMYFUNCTION("IMPORTRANGE(""https://docs.google.com/spreadsheets/d/1-uDff_7J0KD5mKrp0Vvzr7lt3OU09vwQwhkpOPPYv2Y/edit?usp=sharing"",""งบพรบ!FJ46"")"),272220)</f>
        <v>272220</v>
      </c>
      <c r="O361" s="425">
        <f ca="1">IF(L361&gt;0,N361*100/L361,0)</f>
        <v>26.036306597547679</v>
      </c>
      <c r="P361" s="425">
        <f ca="1">IF(M361&gt;0,N361*100/M361,0)</f>
        <v>32.255847572102283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IFERROR(__xludf.DUMMYFUNCTION("IMPORTRANGE(""https://docs.google.com/spreadsheets/d/1-uDff_7J0KD5mKrp0Vvzr7lt3OU09vwQwhkpOPPYv2Y/edit?usp=sharing"",""งบพรบ!FF46"")"),0)</f>
        <v>0</v>
      </c>
      <c r="M364" s="425">
        <f ca="1">IFERROR(__xludf.DUMMYFUNCTION("IMPORTRANGE(""https://docs.google.com/spreadsheets/d/1-uDff_7J0KD5mKrp0Vvzr7lt3OU09vwQwhkpOPPYv2Y/edit?usp=sharing"",""งบพรบ!FI46"")"),0)</f>
        <v>0</v>
      </c>
      <c r="N364" s="425">
        <f ca="1">IFERROR(__xludf.DUMMYFUNCTION("IMPORTRANGE(""https://docs.google.com/spreadsheets/d/1-uDff_7J0KD5mKrp0Vvzr7lt3OU09vwQwhkpOPPYv2Y/edit?usp=sharing"",""งบพรบ!FK46"")"),0)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355</v>
      </c>
      <c r="J365" s="438">
        <f ca="1">J371</f>
        <v>0</v>
      </c>
      <c r="K365" s="439">
        <f ca="1">IF(I365&gt;0,J365*100/I365,0)</f>
        <v>0</v>
      </c>
      <c r="L365" s="571"/>
      <c r="M365" s="571"/>
      <c r="N365" s="571"/>
      <c r="O365" s="571"/>
      <c r="P365" s="571"/>
    </row>
    <row r="366" spans="1:16" ht="19.5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IFERROR(__xludf.DUMMYFUNCTION("IMPORTRANGE(""https://docs.google.com/spreadsheets/d/1tdoBKaGub7dwA3U6UFTqxio9LNnvDCQjHKmttSEBsFQ/edit?usp=sharing"",""จัดที่ดิน!AB46"")"),27)</f>
        <v>27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IFERROR(__xludf.DUMMYFUNCTION("IMPORTRANGE(""https://docs.google.com/spreadsheets/d/1eHaY18a8A9IcSdp1K8H6x8fbOy06t2VsZHhMHf-1x7Y/edit?usp=sharing"",""แผน!EW46"")"),2940)</f>
        <v>2940</v>
      </c>
      <c r="J368" s="565">
        <f ca="1">IFERROR(__xludf.DUMMYFUNCTION("IMPORTRANGE(""https://docs.google.com/spreadsheets/d/1tdoBKaGub7dwA3U6UFTqxio9LNnvDCQjHKmttSEBsFQ/edit?usp=sharing"",""จัดที่ดิน!AC46"")"),192.38)</f>
        <v>192.38</v>
      </c>
      <c r="K368" s="425">
        <f ca="1">IF(I368&gt;0,J368*100/I368,0)</f>
        <v>6.5435374149659866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IFERROR(__xludf.DUMMYFUNCTION("IMPORTRANGE(""https://docs.google.com/spreadsheets/d/1eHaY18a8A9IcSdp1K8H6x8fbOy06t2VsZHhMHf-1x7Y/edit?usp=sharing"",""แผน!EX46"")"),543)</f>
        <v>543</v>
      </c>
      <c r="J369" s="424">
        <f ca="1">IFERROR(__xludf.DUMMYFUNCTION("IMPORTRANGE(""https://docs.google.com/spreadsheets/d/1tdoBKaGub7dwA3U6UFTqxio9LNnvDCQjHKmttSEBsFQ/edit?usp=sharing"",""จัดที่ดิน!AD46"")"),16)</f>
        <v>16</v>
      </c>
      <c r="K369" s="425">
        <f ca="1">IF(I369&gt;0,J369*100/I369,0)</f>
        <v>2.9465930018416207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IFERROR(__xludf.DUMMYFUNCTION("IMPORTRANGE(""https://docs.google.com/spreadsheets/d/1tdoBKaGub7dwA3U6UFTqxio9LNnvDCQjHKmttSEBsFQ/edit?usp=sharing"",""จัดที่ดิน!AE46"")"),125.03)</f>
        <v>125.03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IFERROR(__xludf.DUMMYFUNCTION("IMPORTRANGE(""https://docs.google.com/spreadsheets/d/1eHaY18a8A9IcSdp1K8H6x8fbOy06t2VsZHhMHf-1x7Y/edit?usp=sharing"",""แผน!EY46"")"),355)</f>
        <v>355</v>
      </c>
      <c r="J371" s="424">
        <f ca="1">IFERROR(__xludf.DUMMYFUNCTION("IMPORTRANGE(""https://docs.google.com/spreadsheets/d/1tdoBKaGub7dwA3U6UFTqxio9LNnvDCQjHKmttSEBsFQ/edit?usp=sharing"",""จัดที่ดิน!AF46"")"),0)</f>
        <v>0</v>
      </c>
      <c r="K371" s="425">
        <f ca="1">IF(I371&gt;0,J371*100/I371,0)</f>
        <v>0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IFERROR(__xludf.DUMMYFUNCTION("IMPORTRANGE(""https://docs.google.com/spreadsheets/d/1tdoBKaGub7dwA3U6UFTqxio9LNnvDCQjHKmttSEBsFQ/edit?usp=sharing"",""จัดที่ดิน!AG46"")"),0)</f>
        <v>0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IFERROR(__xludf.DUMMYFUNCTION("IMPORTRANGE(""https://docs.google.com/spreadsheets/d/1-uDff_7J0KD5mKrp0Vvzr7lt3OU09vwQwhkpOPPYv2Y/edit?usp=sharing"",""งบพรบ!FM46"")"),0)</f>
        <v>0</v>
      </c>
      <c r="M382" s="521">
        <f ca="1">IFERROR(__xludf.DUMMYFUNCTION("IMPORTRANGE(""https://docs.google.com/spreadsheets/d/1-uDff_7J0KD5mKrp0Vvzr7lt3OU09vwQwhkpOPPYv2Y/edit?usp=sharing"",""งบพรบ!FR46"")"),0)</f>
        <v>0</v>
      </c>
      <c r="N382" s="521">
        <f ca="1">IFERROR(__xludf.DUMMYFUNCTION("IMPORTRANGE(""https://docs.google.com/spreadsheets/d/1-uDff_7J0KD5mKrp0Vvzr7lt3OU09vwQwhkpOPPYv2Y/edit?usp=sharing"",""งบพรบ!FT46"")"),0)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IFERROR(__xludf.DUMMYFUNCTION("IMPORTRANGE(""https://docs.google.com/spreadsheets/d/1-uDff_7J0KD5mKrp0Vvzr7lt3OU09vwQwhkpOPPYv2Y/edit?usp=sharing"",""งบพรบ!FP46"")"),0)</f>
        <v>0</v>
      </c>
      <c r="M385" s="521">
        <f ca="1">IFERROR(__xludf.DUMMYFUNCTION("IMPORTRANGE(""https://docs.google.com/spreadsheets/d/1-uDff_7J0KD5mKrp0Vvzr7lt3OU09vwQwhkpOPPYv2Y/edit?usp=sharing"",""งบพรบ!FS46"")"),0)</f>
        <v>0</v>
      </c>
      <c r="N385" s="521">
        <f ca="1">IFERROR(__xludf.DUMMYFUNCTION("IMPORTRANGE(""https://docs.google.com/spreadsheets/d/1-uDff_7J0KD5mKrp0Vvzr7lt3OU09vwQwhkpOPPYv2Y/edit?usp=sharing"",""งบพรบ!FU46"")"),0)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9FA93-D5FB-47D2-9FFA-D5DC1637A619}">
  <sheetPr>
    <outlinePr summaryBelow="0" summaryRight="0"/>
    <pageSetUpPr fitToPage="1"/>
  </sheetPr>
  <dimension ref="A1:P391"/>
  <sheetViews>
    <sheetView view="pageBreakPreview" zoomScale="60" zoomScaleNormal="70" workbookViewId="0">
      <pane xSplit="8" ySplit="17" topLeftCell="I18" activePane="bottomRight" state="frozen"/>
      <selection activeCell="H27" sqref="H27"/>
      <selection pane="topRight" activeCell="H27" sqref="H27"/>
      <selection pane="bottomLeft" activeCell="H27" sqref="H27"/>
      <selection pane="bottomRight" activeCell="H27" sqref="H27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5.140625" customWidth="1"/>
    <col min="11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869" t="s">
        <v>0</v>
      </c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  <c r="O1" s="869"/>
      <c r="P1" s="869"/>
    </row>
    <row r="2" spans="1:16" ht="19.5" x14ac:dyDescent="0.3">
      <c r="A2" s="869" t="s">
        <v>176</v>
      </c>
      <c r="B2" s="869"/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  <c r="P2" s="869"/>
    </row>
    <row r="3" spans="1:16" ht="19.5" x14ac:dyDescent="0.3">
      <c r="A3" s="869"/>
      <c r="B3" s="869"/>
      <c r="C3" s="869"/>
      <c r="D3" s="869"/>
      <c r="E3" s="869"/>
      <c r="F3" s="869"/>
      <c r="G3" s="869"/>
      <c r="H3" s="869"/>
      <c r="I3" s="869"/>
      <c r="J3" s="869"/>
      <c r="K3" s="869"/>
      <c r="L3" s="869"/>
      <c r="M3" s="869"/>
      <c r="N3" s="869"/>
      <c r="O3" s="869"/>
      <c r="P3" s="869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5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493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2015221</v>
      </c>
      <c r="M18" s="704">
        <f ca="1">M19+M20</f>
        <v>1683414</v>
      </c>
      <c r="N18" s="704">
        <f ca="1">N19+N20</f>
        <v>782522.71</v>
      </c>
      <c r="O18" s="704">
        <f ca="1">IF(L18&gt;0,N18*100/L18,0)</f>
        <v>38.830615103752891</v>
      </c>
      <c r="P18" s="704">
        <f ca="1">IF(M18&gt;0,N18*100/M18,0)</f>
        <v>46.48427006072184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2015221</v>
      </c>
      <c r="M20" s="817">
        <f ca="1">M23+M26</f>
        <v>1683414</v>
      </c>
      <c r="N20" s="817">
        <f ca="1">N23+N26</f>
        <v>782522.71</v>
      </c>
      <c r="O20" s="817">
        <f ca="1">IF(L20&gt;0,N20*100/L20,0)</f>
        <v>38.830615103752891</v>
      </c>
      <c r="P20" s="817">
        <f ca="1">IF(M20&gt;0,N20*100/M20,0)</f>
        <v>46.48427006072184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2015221</v>
      </c>
      <c r="M21" s="425">
        <f ca="1">M22+M23</f>
        <v>1683414</v>
      </c>
      <c r="N21" s="425">
        <f ca="1">N22+N23</f>
        <v>782522.71</v>
      </c>
      <c r="O21" s="425">
        <f ca="1">IF(L21&gt;0,N21*100/L21,0)</f>
        <v>38.830615103752891</v>
      </c>
      <c r="P21" s="425">
        <f ca="1">IF(M21&gt;0,N21*100/M21,0)</f>
        <v>46.48427006072184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2015221</v>
      </c>
      <c r="M23" s="425">
        <f ca="1">M49+M64+M77+M99+M130+M144+M162+M191+M178+M271+M287+M308+M325+M338+M361+M382</f>
        <v>1683414</v>
      </c>
      <c r="N23" s="425">
        <f ca="1">N49+N64+N77+N99+N130+N144+N162+N191+N178+N271+N287+N308+N325+N338+N361+N382</f>
        <v>782522.71</v>
      </c>
      <c r="O23" s="425">
        <f ca="1">IF(L23&gt;0,N23*100/L23,0)</f>
        <v>38.830615103752891</v>
      </c>
      <c r="P23" s="425">
        <f ca="1">IF(M23&gt;0,N23*100/M23,0)</f>
        <v>46.48427006072184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2.75" hidden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2015221</v>
      </c>
      <c r="M40" s="809">
        <f ca="1">M44+M59+M72+M94+M125+M139+M157+M173+M186+M266+M282+M303+M320+M333+M356</f>
        <v>1683414</v>
      </c>
      <c r="N40" s="809">
        <f ca="1">N44+N59+N72+N94+N125+N139+N157+N173+N186+N266+N282+N303+N320+N333+N356</f>
        <v>782522.71</v>
      </c>
      <c r="O40" s="809">
        <f ca="1">IF(L40&gt;0,N40*100/L40,0)</f>
        <v>38.830615103752891</v>
      </c>
      <c r="P40" s="809">
        <f ca="1">IF(M40&gt;0,N40*100/M40,0)</f>
        <v>46.48427006072184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471501</v>
      </c>
      <c r="M44" s="794">
        <f ca="1">M45+M46</f>
        <v>480594</v>
      </c>
      <c r="N44" s="794">
        <f ca="1">N45+N46</f>
        <v>182588</v>
      </c>
      <c r="O44" s="794">
        <f ca="1">IF(L44&gt;0,N44*100/L44,0)</f>
        <v>38.724838335443614</v>
      </c>
      <c r="P44" s="794">
        <f ca="1">IF(M44&gt;0,N44*100/M44,0)</f>
        <v>37.992151379334743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471501</v>
      </c>
      <c r="M46" s="783">
        <f ca="1">M49+M52</f>
        <v>480594</v>
      </c>
      <c r="N46" s="783">
        <f ca="1">N49+N52</f>
        <v>182588</v>
      </c>
      <c r="O46" s="783">
        <f ca="1">IF(L46&gt;0,N46*100/L46,0)</f>
        <v>38.724838335443614</v>
      </c>
      <c r="P46" s="783">
        <f ca="1">IF(M46&gt;0,N46*100/M46,0)</f>
        <v>37.992151379334743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471501</v>
      </c>
      <c r="M47" s="425">
        <f ca="1">M48+M49</f>
        <v>480594</v>
      </c>
      <c r="N47" s="425">
        <f ca="1">N48+N49</f>
        <v>182588</v>
      </c>
      <c r="O47" s="425">
        <f ca="1">IF(L47&gt;0,N47*100/L47,0)</f>
        <v>38.724838335443614</v>
      </c>
      <c r="P47" s="425">
        <f ca="1">IF(M47&gt;0,N47*100/M47,0)</f>
        <v>37.992151379334743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IFERROR(__xludf.DUMMYFUNCTION("IMPORTRANGE(""https://docs.google.com/spreadsheets/d/1-uDff_7J0KD5mKrp0Vvzr7lt3OU09vwQwhkpOPPYv2Y/edit?usp=sharing"",""งบพรบ!P47"")"),471501)</f>
        <v>471501</v>
      </c>
      <c r="M49" s="425">
        <f ca="1">IFERROR(__xludf.DUMMYFUNCTION("IMPORTRANGE(""https://docs.google.com/spreadsheets/d/1-uDff_7J0KD5mKrp0Vvzr7lt3OU09vwQwhkpOPPYv2Y/edit?usp=sharing"",""งบพรบ!V47"")"),480594)</f>
        <v>480594</v>
      </c>
      <c r="N49" s="425">
        <f ca="1">IFERROR(__xludf.DUMMYFUNCTION("IMPORTRANGE(""https://docs.google.com/spreadsheets/d/1-uDff_7J0KD5mKrp0Vvzr7lt3OU09vwQwhkpOPPYv2Y/edit?usp=sharing"",""งบพรบ!Y47"")"),182588)</f>
        <v>182588</v>
      </c>
      <c r="O49" s="425">
        <f ca="1">IF(L49&gt;0,N49*100/L49,0)</f>
        <v>38.724838335443614</v>
      </c>
      <c r="P49" s="425">
        <f ca="1">IF(M49&gt;0,N49*100/M49,0)</f>
        <v>37.992151379334743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IFERROR(__xludf.DUMMYFUNCTION("IMPORTRANGE(""https://docs.google.com/spreadsheets/d/1-uDff_7J0KD5mKrp0Vvzr7lt3OU09vwQwhkpOPPYv2Y/edit?usp=sharing"",""งบพรบ!S47"")"),0)</f>
        <v>0</v>
      </c>
      <c r="M52" s="425">
        <f ca="1">IFERROR(__xludf.DUMMYFUNCTION("IMPORTRANGE(""https://docs.google.com/spreadsheets/d/1-uDff_7J0KD5mKrp0Vvzr7lt3OU09vwQwhkpOPPYv2Y/edit?usp=sharing"",""งบพรบ!W47"")"),0)</f>
        <v>0</v>
      </c>
      <c r="N52" s="425">
        <f ca="1">IFERROR(__xludf.DUMMYFUNCTION("IMPORTRANGE(""https://docs.google.com/spreadsheets/d/1-uDff_7J0KD5mKrp0Vvzr7lt3OU09vwQwhkpOPPYv2Y/edit?usp=sharing"",""งบพรบ!Z47"")"),0)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569800</v>
      </c>
      <c r="M59" s="763">
        <f ca="1">M60+M61</f>
        <v>429450</v>
      </c>
      <c r="N59" s="763">
        <f ca="1">N60+N61</f>
        <v>296675.90999999997</v>
      </c>
      <c r="O59" s="763">
        <f ca="1">IF(L59&gt;0,N59*100/L59,0)</f>
        <v>52.066674271674266</v>
      </c>
      <c r="P59" s="763">
        <f ca="1">IF(M59&gt;0,N59*100/M59,0)</f>
        <v>69.082759343346126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569800</v>
      </c>
      <c r="M61" s="752">
        <f ca="1">M64+M67</f>
        <v>429450</v>
      </c>
      <c r="N61" s="752">
        <f ca="1">N64+N67</f>
        <v>296675.90999999997</v>
      </c>
      <c r="O61" s="752">
        <f ca="1">IF(L61&gt;0,N61*100/L61,0)</f>
        <v>52.066674271674266</v>
      </c>
      <c r="P61" s="752">
        <f ca="1">IF(M61&gt;0,N61*100/M61,0)</f>
        <v>69.082759343346126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569800</v>
      </c>
      <c r="M62" s="425">
        <f ca="1">M63+M64</f>
        <v>429450</v>
      </c>
      <c r="N62" s="425">
        <f ca="1">N63+N64</f>
        <v>296675.90999999997</v>
      </c>
      <c r="O62" s="425">
        <f ca="1">IF(L62&gt;0,N62*100/L62,0)</f>
        <v>52.066674271674266</v>
      </c>
      <c r="P62" s="425">
        <f ca="1">IF(M62&gt;0,N62*100/M62,0)</f>
        <v>69.082759343346126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IFERROR(__xludf.DUMMYFUNCTION("IMPORTRANGE(""https://docs.google.com/spreadsheets/d/1-uDff_7J0KD5mKrp0Vvzr7lt3OU09vwQwhkpOPPYv2Y/edit?usp=sharing"",""งบพรบ!AC47"")"),569800)</f>
        <v>569800</v>
      </c>
      <c r="M64" s="425">
        <f ca="1">IFERROR(__xludf.DUMMYFUNCTION("IMPORTRANGE(""https://docs.google.com/spreadsheets/d/1-uDff_7J0KD5mKrp0Vvzr7lt3OU09vwQwhkpOPPYv2Y/edit?usp=sharing"",""งบพรบ!AH47"")"),429450)</f>
        <v>429450</v>
      </c>
      <c r="N64" s="425">
        <f ca="1">IFERROR(__xludf.DUMMYFUNCTION("IMPORTRANGE(""https://docs.google.com/spreadsheets/d/1-uDff_7J0KD5mKrp0Vvzr7lt3OU09vwQwhkpOPPYv2Y/edit?usp=sharing"",""งบพรบ!AJ47"")"),296675.91)</f>
        <v>296675.90999999997</v>
      </c>
      <c r="O64" s="425">
        <f ca="1">IF(L64&gt;0,N64*100/L64,0)</f>
        <v>52.066674271674266</v>
      </c>
      <c r="P64" s="425">
        <f ca="1">IF(M64&gt;0,N64*100/M64,0)</f>
        <v>69.082759343346126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IFERROR(__xludf.DUMMYFUNCTION("IMPORTRANGE(""https://docs.google.com/spreadsheets/d/1-uDff_7J0KD5mKrp0Vvzr7lt3OU09vwQwhkpOPPYv2Y/edit?usp=sharing"",""งบพรบ!AF47"")"),0)</f>
        <v>0</v>
      </c>
      <c r="M67" s="747">
        <f ca="1">IFERROR(__xludf.DUMMYFUNCTION("IMPORTRANGE(""https://docs.google.com/spreadsheets/d/1-uDff_7J0KD5mKrp0Vvzr7lt3OU09vwQwhkpOPPYv2Y/edit?usp=sharing"",""งบพรบ!AI47"")"),0)</f>
        <v>0</v>
      </c>
      <c r="N67" s="747">
        <f ca="1">IFERROR(__xludf.DUMMYFUNCTION("IMPORTRANGE(""https://docs.google.com/spreadsheets/d/1-uDff_7J0KD5mKrp0Vvzr7lt3OU09vwQwhkpOPPYv2Y/edit?usp=sharing"",""งบพรบ!AK47"")"),0)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19.5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hidden="1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hidden="1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0</v>
      </c>
      <c r="J70" s="705">
        <f>J82</f>
        <v>0</v>
      </c>
      <c r="K70" s="704">
        <f ca="1">IF(I70&gt;0,J70*100/I70,0)</f>
        <v>0</v>
      </c>
      <c r="L70" s="703"/>
      <c r="M70" s="703"/>
      <c r="N70" s="703"/>
      <c r="O70" s="703"/>
      <c r="P70" s="703"/>
    </row>
    <row r="71" spans="1:16" ht="19.5" hidden="1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0</v>
      </c>
      <c r="J71" s="705">
        <f>J83</f>
        <v>0</v>
      </c>
      <c r="K71" s="704">
        <f ca="1">IF(I71&gt;0,J71*100/I71,0)</f>
        <v>0</v>
      </c>
      <c r="L71" s="703"/>
      <c r="M71" s="703"/>
      <c r="N71" s="703"/>
      <c r="O71" s="703"/>
      <c r="P71" s="703"/>
    </row>
    <row r="72" spans="1:16" ht="19.5" hidden="1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0</v>
      </c>
      <c r="M72" s="577">
        <f ca="1">M73+M74</f>
        <v>0</v>
      </c>
      <c r="N72" s="577">
        <f ca="1">N73+N74</f>
        <v>0</v>
      </c>
      <c r="O72" s="577">
        <f ca="1">IF(L72&gt;0,N72*100/L72,0)</f>
        <v>0</v>
      </c>
      <c r="P72" s="577">
        <f ca="1">IF(M72&gt;0,N72*100/M72,0)</f>
        <v>0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hidden="1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hidden="1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IFERROR(__xludf.DUMMYFUNCTION("IMPORTRANGE(""https://docs.google.com/spreadsheets/d/1-uDff_7J0KD5mKrp0Vvzr7lt3OU09vwQwhkpOPPYv2Y/edit?usp=sharing"",""งบพรบ!AM47"")"),0)</f>
        <v>0</v>
      </c>
      <c r="M77" s="425">
        <f ca="1">IFERROR(__xludf.DUMMYFUNCTION("IMPORTRANGE(""https://docs.google.com/spreadsheets/d/1-uDff_7J0KD5mKrp0Vvzr7lt3OU09vwQwhkpOPPYv2Y/edit?usp=sharing"",""งบพรบ!AR47"")"),0)</f>
        <v>0</v>
      </c>
      <c r="N77" s="425">
        <f ca="1">IFERROR(__xludf.DUMMYFUNCTION("IMPORTRANGE(""https://docs.google.com/spreadsheets/d/1-uDff_7J0KD5mKrp0Vvzr7lt3OU09vwQwhkpOPPYv2Y/edit?usp=sharing"",""งบพรบ!AT47"")"),0)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hidden="1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IFERROR(__xludf.DUMMYFUNCTION("IMPORTRANGE(""https://docs.google.com/spreadsheets/d/1-uDff_7J0KD5mKrp0Vvzr7lt3OU09vwQwhkpOPPYv2Y/edit?usp=sharing"",""งบพรบ!AP47"")"),0)</f>
        <v>0</v>
      </c>
      <c r="M80" s="425">
        <f ca="1">IFERROR(__xludf.DUMMYFUNCTION("IMPORTRANGE(""https://docs.google.com/spreadsheets/d/1-uDff_7J0KD5mKrp0Vvzr7lt3OU09vwQwhkpOPPYv2Y/edit?usp=sharing"",""งบพรบ!AS47"")"),0)</f>
        <v>0</v>
      </c>
      <c r="N80" s="425">
        <f ca="1">IFERROR(__xludf.DUMMYFUNCTION("IMPORTRANGE(""https://docs.google.com/spreadsheets/d/1-uDff_7J0KD5mKrp0Vvzr7lt3OU09vwQwhkpOPPYv2Y/edit?usp=sharing"",""งบพรบ!AU47"")"),0)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hidden="1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0</v>
      </c>
      <c r="J82" s="625">
        <f>J84+J86+J88</f>
        <v>0</v>
      </c>
      <c r="K82" s="624">
        <f ca="1">IF(I82&gt;0,J82*100/I82,0)</f>
        <v>0</v>
      </c>
      <c r="L82" s="525"/>
      <c r="M82" s="525"/>
      <c r="N82" s="525"/>
      <c r="O82" s="525"/>
      <c r="P82" s="525"/>
    </row>
    <row r="83" spans="1:16" ht="19.5" hidden="1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0</v>
      </c>
      <c r="J83" s="625">
        <f>J85+J87+J89</f>
        <v>0</v>
      </c>
      <c r="K83" s="624">
        <f ca="1">IF(I83&gt;0,J83*100/I83,0)</f>
        <v>0</v>
      </c>
      <c r="L83" s="525"/>
      <c r="M83" s="525"/>
      <c r="N83" s="525"/>
      <c r="O83" s="525"/>
      <c r="P83" s="525"/>
    </row>
    <row r="84" spans="1:16" ht="18.75" hidden="1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IFERROR(__xludf.DUMMYFUNCTION("IMPORTRANGE(""https://docs.google.com/spreadsheets/d/1eHaY18a8A9IcSdp1K8H6x8fbOy06t2VsZHhMHf-1x7Y/edit?usp=sharing"",""แผน!H47"")"),0)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hidden="1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IFERROR(__xludf.DUMMYFUNCTION("IMPORTRANGE(""https://docs.google.com/spreadsheets/d/1eHaY18a8A9IcSdp1K8H6x8fbOy06t2VsZHhMHf-1x7Y/edit?usp=sharing"",""แผน!I47"")"),0)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hidden="1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IFERROR(__xludf.DUMMYFUNCTION("IMPORTRANGE(""https://docs.google.com/spreadsheets/d/1eHaY18a8A9IcSdp1K8H6x8fbOy06t2VsZHhMHf-1x7Y/edit?usp=sharing"",""แผน!F47"")"),0)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hidden="1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IFERROR(__xludf.DUMMYFUNCTION("IMPORTRANGE(""https://docs.google.com/spreadsheets/d/1eHaY18a8A9IcSdp1K8H6x8fbOy06t2VsZHhMHf-1x7Y/edit?usp=sharing"",""แผน!G47"")"),0)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hidden="1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IFERROR(__xludf.DUMMYFUNCTION("IMPORTRANGE(""https://docs.google.com/spreadsheets/d/1eHaY18a8A9IcSdp1K8H6x8fbOy06t2VsZHhMHf-1x7Y/edit?usp=sharing"",""แผน!D47"")"),0)</f>
        <v>0</v>
      </c>
      <c r="J88" s="595">
        <v>0</v>
      </c>
      <c r="K88" s="621">
        <f ca="1">IF(I88&gt;0,J88*100/I88,0)</f>
        <v>0</v>
      </c>
      <c r="L88" s="525"/>
      <c r="M88" s="525"/>
      <c r="N88" s="525"/>
      <c r="O88" s="525"/>
      <c r="P88" s="525"/>
    </row>
    <row r="89" spans="1:16" ht="18.75" hidden="1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IFERROR(__xludf.DUMMYFUNCTION("IMPORTRANGE(""https://docs.google.com/spreadsheets/d/1eHaY18a8A9IcSdp1K8H6x8fbOy06t2VsZHhMHf-1x7Y/edit?usp=sharing"",""แผน!E47"")"),0)</f>
        <v>0</v>
      </c>
      <c r="J89" s="595">
        <v>0</v>
      </c>
      <c r="K89" s="621">
        <f ca="1">IF(I89&gt;0,J89*100/I89,0)</f>
        <v>0</v>
      </c>
      <c r="L89" s="525"/>
      <c r="M89" s="525"/>
      <c r="N89" s="525"/>
      <c r="O89" s="525"/>
      <c r="P89" s="525"/>
    </row>
    <row r="90" spans="1:16" ht="18.75" hidden="1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IFERROR(__xludf.DUMMYFUNCTION("IMPORTRANGE(""https://docs.google.com/spreadsheets/d/1eHaY18a8A9IcSdp1K8H6x8fbOy06t2VsZHhMHf-1x7Y/edit?usp=sharing"",""แผน!J47"")"),0)</f>
        <v>0</v>
      </c>
      <c r="J90" s="595">
        <v>0</v>
      </c>
      <c r="K90" s="621">
        <f ca="1">IF(I90&gt;0,J90*100/I90,0)</f>
        <v>0</v>
      </c>
      <c r="L90" s="525"/>
      <c r="M90" s="525"/>
      <c r="N90" s="525"/>
      <c r="O90" s="525"/>
      <c r="P90" s="525"/>
    </row>
    <row r="91" spans="1:16" ht="19.5" hidden="1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hidden="1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0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hidden="1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0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hidden="1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0</v>
      </c>
      <c r="M94" s="577">
        <f ca="1">M95+M96</f>
        <v>0</v>
      </c>
      <c r="N94" s="577">
        <f ca="1">N95+N96</f>
        <v>0</v>
      </c>
      <c r="O94" s="577">
        <f ca="1">IF(L94&gt;0,N94*100/L94,0)</f>
        <v>0</v>
      </c>
      <c r="P94" s="577">
        <f ca="1">IF(M94&gt;0,N94*100/M94,0)</f>
        <v>0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hidden="1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hidden="1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IFERROR(__xludf.DUMMYFUNCTION("IMPORTRANGE(""https://docs.google.com/spreadsheets/d/1-uDff_7J0KD5mKrp0Vvzr7lt3OU09vwQwhkpOPPYv2Y/edit?usp=sharing"",""งบพรบ!AW47"")"),0)</f>
        <v>0</v>
      </c>
      <c r="M99" s="425">
        <f ca="1">IFERROR(__xludf.DUMMYFUNCTION("IMPORTRANGE(""https://docs.google.com/spreadsheets/d/1-uDff_7J0KD5mKrp0Vvzr7lt3OU09vwQwhkpOPPYv2Y/edit?usp=sharing"",""งบพรบ!BB47"")"),0)</f>
        <v>0</v>
      </c>
      <c r="N99" s="425">
        <f ca="1">IFERROR(__xludf.DUMMYFUNCTION("IMPORTRANGE(""https://docs.google.com/spreadsheets/d/1-uDff_7J0KD5mKrp0Vvzr7lt3OU09vwQwhkpOPPYv2Y/edit?usp=sharing"",""งบพรบ!BD47"")"),0)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hidden="1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IFERROR(__xludf.DUMMYFUNCTION("IMPORTRANGE(""https://docs.google.com/spreadsheets/d/1-uDff_7J0KD5mKrp0Vvzr7lt3OU09vwQwhkpOPPYv2Y/edit?usp=sharing"",""งบพรบ!AZ47"")"),0)</f>
        <v>0</v>
      </c>
      <c r="M102" s="425">
        <f ca="1">IFERROR(__xludf.DUMMYFUNCTION("IMPORTRANGE(""https://docs.google.com/spreadsheets/d/1-uDff_7J0KD5mKrp0Vvzr7lt3OU09vwQwhkpOPPYv2Y/edit?usp=sharing"",""งบพรบ!BC47"")"),0)</f>
        <v>0</v>
      </c>
      <c r="N102" s="425">
        <f ca="1">IFERROR(__xludf.DUMMYFUNCTION("IMPORTRANGE(""https://docs.google.com/spreadsheets/d/1-uDff_7J0KD5mKrp0Vvzr7lt3OU09vwQwhkpOPPYv2Y/edit?usp=sharing"",""งบพรบ!BE47"")"),0)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hidden="1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hidden="1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IFERROR(__xludf.DUMMYFUNCTION("IMPORTRANGE(""https://docs.google.com/spreadsheets/d/1eHaY18a8A9IcSdp1K8H6x8fbOy06t2VsZHhMHf-1x7Y/edit?usp=sharing"",""แผน!N47"")"),0)</f>
        <v>0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hidden="1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IFERROR(__xludf.DUMMYFUNCTION("IMPORTRANGE(""https://docs.google.com/spreadsheets/d/1eHaY18a8A9IcSdp1K8H6x8fbOy06t2VsZHhMHf-1x7Y/edit?usp=sharing"",""แผน!O47"")"),0)</f>
        <v>0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hidden="1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IFERROR(__xludf.DUMMYFUNCTION("IMPORTRANGE(""https://docs.google.com/spreadsheets/d/1eHaY18a8A9IcSdp1K8H6x8fbOy06t2VsZHhMHf-1x7Y/edit?usp=sharing"",""แผน!R47"")"),0)</f>
        <v>0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IFERROR(__xludf.DUMMYFUNCTION("IMPORTRANGE(""https://docs.google.com/spreadsheets/d/1-uDff_7J0KD5mKrp0Vvzr7lt3OU09vwQwhkpOPPYv2Y/edit?usp=sharing"",""งบพรบ!BG47"")"),0)</f>
        <v>0</v>
      </c>
      <c r="M130" s="723">
        <f ca="1">IFERROR(__xludf.DUMMYFUNCTION("IMPORTRANGE(""https://docs.google.com/spreadsheets/d/1-uDff_7J0KD5mKrp0Vvzr7lt3OU09vwQwhkpOPPYv2Y/edit?usp=sharing"",""งบพรบ!BL47"")"),0)</f>
        <v>0</v>
      </c>
      <c r="N130" s="723">
        <f ca="1">IFERROR(__xludf.DUMMYFUNCTION("IMPORTRANGE(""https://docs.google.com/spreadsheets/d/1-uDff_7J0KD5mKrp0Vvzr7lt3OU09vwQwhkpOPPYv2Y/edit?usp=sharing"",""งบพรบ!BN47"")"),0)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IFERROR(__xludf.DUMMYFUNCTION("IMPORTRANGE(""https://docs.google.com/spreadsheets/d/1-uDff_7J0KD5mKrp0Vvzr7lt3OU09vwQwhkpOPPYv2Y/edit?usp=sharing"",""งบพรบ!BJ47"")"),0)</f>
        <v>0</v>
      </c>
      <c r="M133" s="723">
        <f ca="1">IFERROR(__xludf.DUMMYFUNCTION("IMPORTRANGE(""https://docs.google.com/spreadsheets/d/1-uDff_7J0KD5mKrp0Vvzr7lt3OU09vwQwhkpOPPYv2Y/edit?usp=sharing"",""งบพรบ!BM47"")"),0)</f>
        <v>0</v>
      </c>
      <c r="N133" s="723">
        <f ca="1">IFERROR(__xludf.DUMMYFUNCTION("IMPORTRANGE(""https://docs.google.com/spreadsheets/d/1-uDff_7J0KD5mKrp0Vvzr7lt3OU09vwQwhkpOPPYv2Y/edit?usp=sharing"",""งบพรบ!BO47"")"),0)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0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50</v>
      </c>
      <c r="J137" s="705">
        <f>J152</f>
        <v>0</v>
      </c>
      <c r="K137" s="704">
        <f ca="1">IF(I137&gt;0,J137*100/I137,0)</f>
        <v>0</v>
      </c>
      <c r="L137" s="703"/>
      <c r="M137" s="703"/>
      <c r="N137" s="703"/>
      <c r="O137" s="703"/>
      <c r="P137" s="703"/>
    </row>
    <row r="138" spans="1:16" ht="19.5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5</v>
      </c>
      <c r="J138" s="705">
        <f>J153</f>
        <v>0</v>
      </c>
      <c r="K138" s="704">
        <f ca="1">IF(I138&gt;0,J138*100/I138,0)</f>
        <v>0</v>
      </c>
      <c r="L138" s="703"/>
      <c r="M138" s="703"/>
      <c r="N138" s="703"/>
      <c r="O138" s="703"/>
      <c r="P138" s="703"/>
    </row>
    <row r="139" spans="1:16" ht="19.5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137600</v>
      </c>
      <c r="M139" s="577">
        <f ca="1">M140+M141</f>
        <v>109500</v>
      </c>
      <c r="N139" s="577">
        <f ca="1">N140+N141</f>
        <v>51286.8</v>
      </c>
      <c r="O139" s="577">
        <f ca="1">IF(L139&gt;0,N139*100/L139,0)</f>
        <v>37.272383720930236</v>
      </c>
      <c r="P139" s="577">
        <f ca="1">IF(M139&gt;0,N139*100/M139,0)</f>
        <v>46.837260273972603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137600</v>
      </c>
      <c r="M141" s="425">
        <f ca="1">M144+M147</f>
        <v>109500</v>
      </c>
      <c r="N141" s="425">
        <f ca="1">N144+N147</f>
        <v>51286.8</v>
      </c>
      <c r="O141" s="425">
        <f ca="1">IF(L141&gt;0,N141*100/L141,0)</f>
        <v>37.272383720930236</v>
      </c>
      <c r="P141" s="425">
        <f ca="1">IF(M141&gt;0,N141*100/M141,0)</f>
        <v>46.837260273972603</v>
      </c>
    </row>
    <row r="142" spans="1:16" ht="18.75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137600</v>
      </c>
      <c r="M142" s="425">
        <f ca="1">M143+M144</f>
        <v>109500</v>
      </c>
      <c r="N142" s="425">
        <f ca="1">N143+N144</f>
        <v>51286.8</v>
      </c>
      <c r="O142" s="425">
        <f ca="1">IF(L142&gt;0,N142*100/L142,0)</f>
        <v>37.272383720930236</v>
      </c>
      <c r="P142" s="425">
        <f ca="1">IF(M142&gt;0,N142*100/M142,0)</f>
        <v>46.837260273972603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IFERROR(__xludf.DUMMYFUNCTION("IMPORTRANGE(""https://docs.google.com/spreadsheets/d/1-uDff_7J0KD5mKrp0Vvzr7lt3OU09vwQwhkpOPPYv2Y/edit?usp=sharing"",""งบพรบ!BQ47"")"),137600)</f>
        <v>137600</v>
      </c>
      <c r="M144" s="425">
        <f ca="1">IFERROR(__xludf.DUMMYFUNCTION("IMPORTRANGE(""https://docs.google.com/spreadsheets/d/1-uDff_7J0KD5mKrp0Vvzr7lt3OU09vwQwhkpOPPYv2Y/edit?usp=sharing"",""งบพรบ!BV47"")"),109500)</f>
        <v>109500</v>
      </c>
      <c r="N144" s="425">
        <f ca="1">IFERROR(__xludf.DUMMYFUNCTION("IMPORTRANGE(""https://docs.google.com/spreadsheets/d/1-uDff_7J0KD5mKrp0Vvzr7lt3OU09vwQwhkpOPPYv2Y/edit?usp=sharing"",""งบพรบ!BX47"")"),51286.8)</f>
        <v>51286.8</v>
      </c>
      <c r="O144" s="425">
        <f ca="1">IF(L144&gt;0,N144*100/L144,0)</f>
        <v>37.272383720930236</v>
      </c>
      <c r="P144" s="425">
        <f ca="1">IF(M144&gt;0,N144*100/M144,0)</f>
        <v>46.837260273972603</v>
      </c>
    </row>
    <row r="145" spans="1:16" ht="18.75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IFERROR(__xludf.DUMMYFUNCTION("IMPORTRANGE(""https://docs.google.com/spreadsheets/d/1-uDff_7J0KD5mKrp0Vvzr7lt3OU09vwQwhkpOPPYv2Y/edit?usp=sharing"",""งบพรบ!BT47"")"),0)</f>
        <v>0</v>
      </c>
      <c r="M147" s="425">
        <f ca="1">IFERROR(__xludf.DUMMYFUNCTION("IMPORTRANGE(""https://docs.google.com/spreadsheets/d/1-uDff_7J0KD5mKrp0Vvzr7lt3OU09vwQwhkpOPPYv2Y/edit?usp=sharing"",""งบพรบ!BW47"")"),0)</f>
        <v>0</v>
      </c>
      <c r="N147" s="425">
        <f ca="1">IFERROR(__xludf.DUMMYFUNCTION("IMPORTRANGE(""https://docs.google.com/spreadsheets/d/1-uDff_7J0KD5mKrp0Vvzr7lt3OU09vwQwhkpOPPYv2Y/edit?usp=sharing"",""งบพรบ!BY47"")"),0)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x14ac:dyDescent="0.3">
      <c r="A150" s="535"/>
      <c r="B150" s="418"/>
      <c r="C150" s="418"/>
      <c r="D150" s="420"/>
      <c r="E150" s="570" t="s">
        <v>159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IFERROR(__xludf.DUMMYFUNCTION("IMPORTRANGE(""https://docs.google.com/spreadsheets/d/1eHaY18a8A9IcSdp1K8H6x8fbOy06t2VsZHhMHf-1x7Y/edit?usp=sharing"",""แผน!U47"")"),0)</f>
        <v>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IFERROR(__xludf.DUMMYFUNCTION("IMPORTRANGE(""https://docs.google.com/spreadsheets/d/1eHaY18a8A9IcSdp1K8H6x8fbOy06t2VsZHhMHf-1x7Y/edit?usp=sharing"",""แผน!V47"")"),0)</f>
        <v>0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x14ac:dyDescent="0.3">
      <c r="A152" s="535"/>
      <c r="B152" s="418"/>
      <c r="C152" s="418"/>
      <c r="D152" s="420"/>
      <c r="E152" s="570" t="s">
        <v>158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IFERROR(__xludf.DUMMYFUNCTION("IMPORTRANGE(""https://docs.google.com/spreadsheets/d/1eHaY18a8A9IcSdp1K8H6x8fbOy06t2VsZHhMHf-1x7Y/edit?usp=sharing"",""แผน!W47"")"),50)</f>
        <v>50</v>
      </c>
      <c r="J152" s="595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IFERROR(__xludf.DUMMYFUNCTION("IMPORTRANGE(""https://docs.google.com/spreadsheets/d/1eHaY18a8A9IcSdp1K8H6x8fbOy06t2VsZHhMHf-1x7Y/edit?usp=sharing"",""แผน!X47"")"),5)</f>
        <v>5</v>
      </c>
      <c r="J153" s="595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IFERROR(__xludf.DUMMYFUNCTION("IMPORTRANGE(""https://docs.google.com/spreadsheets/d/1eHaY18a8A9IcSdp1K8H6x8fbOy06t2VsZHhMHf-1x7Y/edit?usp=sharing"",""แผน!Y47"")"),0)</f>
        <v>0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hidden="1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hidden="1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I169</f>
        <v>0</v>
      </c>
      <c r="J156" s="705">
        <f>J169</f>
        <v>0</v>
      </c>
      <c r="K156" s="704">
        <f ca="1">IF(I156&gt;0,J156*100/I156,0)</f>
        <v>0</v>
      </c>
      <c r="L156" s="703"/>
      <c r="M156" s="703"/>
      <c r="N156" s="703"/>
      <c r="O156" s="703"/>
      <c r="P156" s="703"/>
    </row>
    <row r="157" spans="1:16" ht="19.5" hidden="1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hidden="1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hidden="1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hidden="1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IFERROR(__xludf.DUMMYFUNCTION("IMPORTRANGE(""https://docs.google.com/spreadsheets/d/1-uDff_7J0KD5mKrp0Vvzr7lt3OU09vwQwhkpOPPYv2Y/edit?usp=sharing"",""งบพรบ!CA47"")"),0)</f>
        <v>0</v>
      </c>
      <c r="M162" s="425">
        <f ca="1">IFERROR(__xludf.DUMMYFUNCTION("IMPORTRANGE(""https://docs.google.com/spreadsheets/d/1-uDff_7J0KD5mKrp0Vvzr7lt3OU09vwQwhkpOPPYv2Y/edit?usp=sharing"",""งบพรบ!CF47"")"),0)</f>
        <v>0</v>
      </c>
      <c r="N162" s="425">
        <f ca="1">IFERROR(__xludf.DUMMYFUNCTION("IMPORTRANGE(""https://docs.google.com/spreadsheets/d/1-uDff_7J0KD5mKrp0Vvzr7lt3OU09vwQwhkpOPPYv2Y/edit?usp=sharing"",""งบพรบ!CH47"")"),0)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hidden="1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hidden="1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IFERROR(__xludf.DUMMYFUNCTION("IMPORTRANGE(""https://docs.google.com/spreadsheets/d/1-uDff_7J0KD5mKrp0Vvzr7lt3OU09vwQwhkpOPPYv2Y/edit?usp=sharing"",""งบพรบ!CD47"")"),0)</f>
        <v>0</v>
      </c>
      <c r="M165" s="425">
        <f ca="1">IFERROR(__xludf.DUMMYFUNCTION("IMPORTRANGE(""https://docs.google.com/spreadsheets/d/1-uDff_7J0KD5mKrp0Vvzr7lt3OU09vwQwhkpOPPYv2Y/edit?usp=sharing"",""งบพรบ!CG47"")"),0)</f>
        <v>0</v>
      </c>
      <c r="N165" s="425">
        <f ca="1">IFERROR(__xludf.DUMMYFUNCTION("IMPORTRANGE(""https://docs.google.com/spreadsheets/d/1-uDff_7J0KD5mKrp0Vvzr7lt3OU09vwQwhkpOPPYv2Y/edit?usp=sharing"",""งบพรบ!CI47"")"),0)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hidden="1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hidden="1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IFERROR(__xludf.DUMMYFUNCTION("IMPORTRANGE(""https://docs.google.com/spreadsheets/d/1eHaY18a8A9IcSdp1K8H6x8fbOy06t2VsZHhMHf-1x7Y/edit?usp=sharing"",""แผน!Z47"")"),0)</f>
        <v>0</v>
      </c>
      <c r="J167" s="595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IFERROR(__xludf.DUMMYFUNCTION("IMPORTRANGE(""https://docs.google.com/spreadsheets/d/1eHaY18a8A9IcSdp1K8H6x8fbOy06t2VsZHhMHf-1x7Y/edit?usp=sharing"",""แผน!Z47"")"),0)</f>
        <v>0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IFERROR(__xludf.DUMMYFUNCTION("IMPORTRANGE(""https://docs.google.com/spreadsheets/d/1eHaY18a8A9IcSdp1K8H6x8fbOy06t2VsZHhMHf-1x7Y/edit?usp=sharing"",""แผน!Z47"")"),0)</f>
        <v>0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7</v>
      </c>
      <c r="J172" s="688">
        <f>J183+J184</f>
        <v>7</v>
      </c>
      <c r="K172" s="687">
        <f ca="1">IF(I172&gt;0,J172*100/I172,0)</f>
        <v>100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19590</v>
      </c>
      <c r="M173" s="577">
        <f ca="1">M174+M175</f>
        <v>19590</v>
      </c>
      <c r="N173" s="577">
        <f ca="1">N174+N175</f>
        <v>19590</v>
      </c>
      <c r="O173" s="577">
        <f ca="1">IF(L173&gt;0,N173*100/L173,0)</f>
        <v>100</v>
      </c>
      <c r="P173" s="577">
        <f ca="1">IF(M173&gt;0,N173*100/M173,0)</f>
        <v>100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19590</v>
      </c>
      <c r="N175" s="425">
        <f ca="1">N178+N181</f>
        <v>19590</v>
      </c>
      <c r="O175" s="425">
        <f ca="1">IF(L175&gt;0,N175*100/L175,0)</f>
        <v>100</v>
      </c>
      <c r="P175" s="425">
        <f ca="1">IF(M175&gt;0,N175*100/M175,0)</f>
        <v>100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19590</v>
      </c>
      <c r="M176" s="425">
        <f ca="1">M177+M178</f>
        <v>19590</v>
      </c>
      <c r="N176" s="425">
        <f ca="1">N177+N178</f>
        <v>19590</v>
      </c>
      <c r="O176" s="425">
        <f ca="1">IF(L176&gt;0,N176*100/L176,0)</f>
        <v>100</v>
      </c>
      <c r="P176" s="425">
        <f ca="1">IF(M176&gt;0,N176*100/M176,0)</f>
        <v>100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IFERROR(__xludf.DUMMYFUNCTION("IMPORTRANGE(""https://docs.google.com/spreadsheets/d/1-uDff_7J0KD5mKrp0Vvzr7lt3OU09vwQwhkpOPPYv2Y/edit?usp=sharing"",""งบพรบ!CK47"")"),19590)</f>
        <v>19590</v>
      </c>
      <c r="M178" s="425">
        <f ca="1">IFERROR(__xludf.DUMMYFUNCTION("IMPORTRANGE(""https://docs.google.com/spreadsheets/d/1-uDff_7J0KD5mKrp0Vvzr7lt3OU09vwQwhkpOPPYv2Y/edit?usp=sharing"",""งบพรบ!CP47"")"),19590)</f>
        <v>19590</v>
      </c>
      <c r="N178" s="425">
        <f ca="1">IFERROR(__xludf.DUMMYFUNCTION("IMPORTRANGE(""https://docs.google.com/spreadsheets/d/1-uDff_7J0KD5mKrp0Vvzr7lt3OU09vwQwhkpOPPYv2Y/edit?usp=sharing"",""งบพรบ!CR47"")"),19590)</f>
        <v>19590</v>
      </c>
      <c r="O178" s="425">
        <f ca="1">IF(L178&gt;0,N178*100/L178,0)</f>
        <v>100</v>
      </c>
      <c r="P178" s="425">
        <f ca="1">IF(M178&gt;0,N178*100/M178,0)</f>
        <v>100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IFERROR(__xludf.DUMMYFUNCTION("IMPORTRANGE(""https://docs.google.com/spreadsheets/d/1-uDff_7J0KD5mKrp0Vvzr7lt3OU09vwQwhkpOPPYv2Y/edit?usp=sharing"",""งบพรบ!CN47"")"),0)</f>
        <v>0</v>
      </c>
      <c r="M181" s="425">
        <f ca="1">IFERROR(__xludf.DUMMYFUNCTION("IMPORTRANGE(""https://docs.google.com/spreadsheets/d/1-uDff_7J0KD5mKrp0Vvzr7lt3OU09vwQwhkpOPPYv2Y/edit?usp=sharing"",""งบพรบ!CQ47"")"),0)</f>
        <v>0</v>
      </c>
      <c r="N181" s="425">
        <f ca="1">IFERROR(__xludf.DUMMYFUNCTION("IMPORTRANGE(""https://docs.google.com/spreadsheets/d/1-uDff_7J0KD5mKrp0Vvzr7lt3OU09vwQwhkpOPPYv2Y/edit?usp=sharing"",""งบพรบ!CS47"")"),0)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IFERROR(__xludf.DUMMYFUNCTION("IMPORTRANGE(""https://docs.google.com/spreadsheets/d/1eHaY18a8A9IcSdp1K8H6x8fbOy06t2VsZHhMHf-1x7Y/edit?usp=sharing"",""แผน!AA47"")"),7)</f>
        <v>7</v>
      </c>
      <c r="J183" s="595">
        <v>7</v>
      </c>
      <c r="K183" s="425">
        <f ca="1">IF(I183&gt;0,J183*100/I183,0)</f>
        <v>100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0</v>
      </c>
      <c r="J185" s="688">
        <f>J230+J231</f>
        <v>0</v>
      </c>
      <c r="K185" s="687">
        <f ca="1">IF(I185&gt;0,J185*100/I185,0)</f>
        <v>0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146500</v>
      </c>
      <c r="M186" s="577">
        <f ca="1">M187+M188</f>
        <v>96500</v>
      </c>
      <c r="N186" s="577">
        <f ca="1">N187+N188</f>
        <v>26000</v>
      </c>
      <c r="O186" s="577">
        <f ca="1">IF(L186&gt;0,N186*100/L186,0)</f>
        <v>17.747440273037544</v>
      </c>
      <c r="P186" s="577">
        <f ca="1">IF(M186&gt;0,N186*100/M186,0)</f>
        <v>26.94300518134715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146500</v>
      </c>
      <c r="M188" s="425">
        <f ca="1">M191+M194</f>
        <v>96500</v>
      </c>
      <c r="N188" s="425">
        <f ca="1">N191+N194</f>
        <v>26000</v>
      </c>
      <c r="O188" s="425">
        <f ca="1">IF(L188&gt;0,N188*100/L188,0)</f>
        <v>17.747440273037544</v>
      </c>
      <c r="P188" s="425">
        <f ca="1">IF(M188&gt;0,N188*100/M188,0)</f>
        <v>26.94300518134715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146500</v>
      </c>
      <c r="M189" s="425">
        <f ca="1">M190+M191</f>
        <v>96500</v>
      </c>
      <c r="N189" s="425">
        <f ca="1">N190+N191</f>
        <v>26000</v>
      </c>
      <c r="O189" s="425">
        <f ca="1">IF(L189&gt;0,N189*100/L189,0)</f>
        <v>17.747440273037544</v>
      </c>
      <c r="P189" s="425">
        <f ca="1">IF(M189&gt;0,N189*100/M189,0)</f>
        <v>26.94300518134715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IFERROR(__xludf.DUMMYFUNCTION("IMPORTRANGE(""https://docs.google.com/spreadsheets/d/1-uDff_7J0KD5mKrp0Vvzr7lt3OU09vwQwhkpOPPYv2Y/edit?usp=sharing"",""งบพรบ!CU47"")"),146500)</f>
        <v>146500</v>
      </c>
      <c r="M191" s="425">
        <f ca="1">IFERROR(__xludf.DUMMYFUNCTION("IMPORTRANGE(""https://docs.google.com/spreadsheets/d/1-uDff_7J0KD5mKrp0Vvzr7lt3OU09vwQwhkpOPPYv2Y/edit?usp=sharing"",""งบพรบ!CZ47"")"),96500)</f>
        <v>96500</v>
      </c>
      <c r="N191" s="425">
        <f ca="1">IFERROR(__xludf.DUMMYFUNCTION("IMPORTRANGE(""https://docs.google.com/spreadsheets/d/1-uDff_7J0KD5mKrp0Vvzr7lt3OU09vwQwhkpOPPYv2Y/edit?usp=sharing"",""งบพรบ!DB47"")"),26000)</f>
        <v>26000</v>
      </c>
      <c r="O191" s="425">
        <f ca="1">IF(L191&gt;0,N191*100/L191,0)</f>
        <v>17.747440273037544</v>
      </c>
      <c r="P191" s="425">
        <f ca="1">IF(M191&gt;0,N191*100/M191,0)</f>
        <v>26.94300518134715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IFERROR(__xludf.DUMMYFUNCTION("IMPORTRANGE(""https://docs.google.com/spreadsheets/d/1-uDff_7J0KD5mKrp0Vvzr7lt3OU09vwQwhkpOPPYv2Y/edit?usp=sharing"",""งบพรบ!CX47"")"),0)</f>
        <v>0</v>
      </c>
      <c r="M194" s="425">
        <f ca="1">IFERROR(__xludf.DUMMYFUNCTION("IMPORTRANGE(""https://docs.google.com/spreadsheets/d/1-uDff_7J0KD5mKrp0Vvzr7lt3OU09vwQwhkpOPPYv2Y/edit?usp=sharing"",""งบพรบ!DA47"")"),0)</f>
        <v>0</v>
      </c>
      <c r="N194" s="425">
        <f ca="1">IFERROR(__xludf.DUMMYFUNCTION("IMPORTRANGE(""https://docs.google.com/spreadsheets/d/1-uDff_7J0KD5mKrp0Vvzr7lt3OU09vwQwhkpOPPYv2Y/edit?usp=sharing"",""งบพรบ!DC47"")"),0)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0</v>
      </c>
      <c r="K195" s="439">
        <f ca="1">IF(I195&gt;0,J195*100/I195,0)</f>
        <v>0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IFERROR(__xludf.DUMMYFUNCTION("IMPORTRANGE(""https://docs.google.com/spreadsheets/d/1eHaY18a8A9IcSdp1K8H6x8fbOy06t2VsZHhMHf-1x7Y/edit?usp=sharing"",""แผน!AB47"")"),6000)</f>
        <v>6000</v>
      </c>
      <c r="M196" s="428"/>
      <c r="N196" s="686">
        <v>0</v>
      </c>
      <c r="O196" s="577">
        <f ca="1">IF(L196&gt;0,N196*100/L196,0)</f>
        <v>0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IFERROR(__xludf.DUMMYFUNCTION("IMPORTRANGE(""https://docs.google.com/spreadsheets/d/1eHaY18a8A9IcSdp1K8H6x8fbOy06t2VsZHhMHf-1x7Y/edit?usp=sharing"",""แผน!AE47"")"),4)</f>
        <v>4</v>
      </c>
      <c r="J198" s="595">
        <v>0</v>
      </c>
      <c r="K198" s="425">
        <f ca="1">IF(I198&gt;0,J198*100/I198,0)</f>
        <v>0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2</v>
      </c>
      <c r="J202" s="438">
        <f>J209</f>
        <v>0</v>
      </c>
      <c r="K202" s="439">
        <f ca="1">IF(I202&gt;0,J202*100/I202,0)</f>
        <v>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29000</v>
      </c>
      <c r="M203" s="428"/>
      <c r="N203" s="577">
        <f>N204+N205+N206+N207</f>
        <v>0</v>
      </c>
      <c r="O203" s="577">
        <f ca="1">IF(L203&gt;0,N203*100/L203,0)</f>
        <v>0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2" t="s">
        <v>157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IFERROR(__xludf.DUMMYFUNCTION("IMPORTRANGE(""https://docs.google.com/spreadsheets/d/1eHaY18a8A9IcSdp1K8H6x8fbOy06t2VsZHhMHf-1x7Y/edit?usp=sharing"",""แผน!AG47"")"),2000)</f>
        <v>2000</v>
      </c>
      <c r="M204" s="428"/>
      <c r="N204" s="683">
        <v>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IFERROR(__xludf.DUMMYFUNCTION("IMPORTRANGE(""https://docs.google.com/spreadsheets/d/1eHaY18a8A9IcSdp1K8H6x8fbOy06t2VsZHhMHf-1x7Y/edit?usp=sharing"",""แผน!AH47"")"),0)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IFERROR(__xludf.DUMMYFUNCTION("IMPORTRANGE(""https://docs.google.com/spreadsheets/d/1eHaY18a8A9IcSdp1K8H6x8fbOy06t2VsZHhMHf-1x7Y/edit?usp=sharing"",""แผน!AI47"")"),16000)</f>
        <v>16000</v>
      </c>
      <c r="M206" s="428"/>
      <c r="N206" s="683">
        <v>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IFERROR(__xludf.DUMMYFUNCTION("IMPORTRANGE(""https://docs.google.com/spreadsheets/d/1eHaY18a8A9IcSdp1K8H6x8fbOy06t2VsZHhMHf-1x7Y/edit?usp=sharing"",""แผน!AJ47"")"),11000)</f>
        <v>11000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IFERROR(__xludf.DUMMYFUNCTION("IMPORTRANGE(""https://docs.google.com/spreadsheets/d/1eHaY18a8A9IcSdp1K8H6x8fbOy06t2VsZHhMHf-1x7Y/edit?usp=sharing"",""แผน!AK47"")"),2)</f>
        <v>2</v>
      </c>
      <c r="J209" s="595">
        <v>0</v>
      </c>
      <c r="K209" s="621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IFERROR(__xludf.DUMMYFUNCTION("IMPORTRANGE(""https://docs.google.com/spreadsheets/d/1eHaY18a8A9IcSdp1K8H6x8fbOy06t2VsZHhMHf-1x7Y/edit?usp=sharing"",""แผน!JX47"")"),2)</f>
        <v>2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IFERROR(__xludf.DUMMYFUNCTION("IMPORTRANGE(""https://docs.google.com/spreadsheets/d/1eHaY18a8A9IcSdp1K8H6x8fbOy06t2VsZHhMHf-1x7Y/edit?usp=sharing"",""แผน!JY47"")"),1)</f>
        <v>1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1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14000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IFERROR(__xludf.DUMMYFUNCTION("IMPORTRANGE(""https://docs.google.com/spreadsheets/d/1eHaY18a8A9IcSdp1K8H6x8fbOy06t2VsZHhMHf-1x7Y/edit?usp=sharing"",""แผน!AM47"")"),1000)</f>
        <v>1000</v>
      </c>
      <c r="M215" s="428"/>
      <c r="N215" s="683">
        <v>0</v>
      </c>
      <c r="O215" s="525"/>
      <c r="P215" s="428"/>
    </row>
    <row r="216" spans="1:16" ht="18.75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IFERROR(__xludf.DUMMYFUNCTION("IMPORTRANGE(""https://docs.google.com/spreadsheets/d/1eHaY18a8A9IcSdp1K8H6x8fbOy06t2VsZHhMHf-1x7Y/edit?usp=sharing"",""แผน!AN47"")"),5000)</f>
        <v>5000</v>
      </c>
      <c r="M216" s="428"/>
      <c r="N216" s="683">
        <v>0</v>
      </c>
      <c r="O216" s="525"/>
      <c r="P216" s="428"/>
    </row>
    <row r="217" spans="1:16" ht="18.75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IFERROR(__xludf.DUMMYFUNCTION("IMPORTRANGE(""https://docs.google.com/spreadsheets/d/1eHaY18a8A9IcSdp1K8H6x8fbOy06t2VsZHhMHf-1x7Y/edit?usp=sharing"",""แผน!AO47"")"),8000)</f>
        <v>8000</v>
      </c>
      <c r="M217" s="428"/>
      <c r="N217" s="683">
        <v>0</v>
      </c>
      <c r="O217" s="525"/>
      <c r="P217" s="428"/>
    </row>
    <row r="218" spans="1:16" ht="19.5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IFERROR(__xludf.DUMMYFUNCTION("IMPORTRANGE(""https://docs.google.com/spreadsheets/d/1eHaY18a8A9IcSdp1K8H6x8fbOy06t2VsZHhMHf-1x7Y/edit?usp=sharing"",""แผน!AP47"")"),1)</f>
        <v>1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IFERROR(__xludf.DUMMYFUNCTION("IMPORTRANGE(""https://docs.google.com/spreadsheets/d/1eHaY18a8A9IcSdp1K8H6x8fbOy06t2VsZHhMHf-1x7Y/edit?usp=sharing"",""แผน!AP47"")"),1)</f>
        <v>1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30000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6500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2" t="s">
        <v>156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IFERROR(__xludf.DUMMYFUNCTION("IMPORTRANGE(""https://docs.google.com/spreadsheets/d/1eHaY18a8A9IcSdp1K8H6x8fbOy06t2VsZHhMHf-1x7Y/edit?usp=sharing"",""แผน!AR47"")"),5000)</f>
        <v>5000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IFERROR(__xludf.DUMMYFUNCTION("IMPORTRANGE(""https://docs.google.com/spreadsheets/d/1eHaY18a8A9IcSdp1K8H6x8fbOy06t2VsZHhMHf-1x7Y/edit?usp=sharing"",""แผน!AS47"")"),1500)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IFERROR(__xludf.DUMMYFUNCTION("IMPORTRANGE(""https://docs.google.com/spreadsheets/d/1eHaY18a8A9IcSdp1K8H6x8fbOy06t2VsZHhMHf-1x7Y/edit?usp=sharing"",""แผน!AT47"")"),0)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IFERROR(__xludf.DUMMYFUNCTION("IMPORTRANGE(""https://docs.google.com/spreadsheets/d/1eHaY18a8A9IcSdp1K8H6x8fbOy06t2VsZHhMHf-1x7Y/edit?usp=sharing"",""แผน!AV47"")"),30000)</f>
        <v>30000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IFERROR(__xludf.DUMMYFUNCTION("IMPORTRANGE(""https://docs.google.com/spreadsheets/d/1eHaY18a8A9IcSdp1K8H6x8fbOy06t2VsZHhMHf-1x7Y/edit?usp=sharing"",""แผน!AV47"")"),30000)</f>
        <v>30000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IFERROR(__xludf.DUMMYFUNCTION("IMPORTRANGE(""https://docs.google.com/spreadsheets/d/1eHaY18a8A9IcSdp1K8H6x8fbOy06t2VsZHhMHf-1x7Y/edit?usp=sharing"",""แผน!AU47"")"),0)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432"/>
      <c r="B231" s="434"/>
      <c r="C231" s="682" t="s">
        <v>99</v>
      </c>
      <c r="D231" s="433"/>
      <c r="E231" s="433"/>
      <c r="F231" s="433"/>
      <c r="G231" s="436"/>
      <c r="H231" s="437" t="s">
        <v>33</v>
      </c>
      <c r="I231" s="438">
        <f ca="1">I242+I253</f>
        <v>0</v>
      </c>
      <c r="J231" s="438">
        <f>J242+J253</f>
        <v>0</v>
      </c>
      <c r="K231" s="439">
        <f ca="1">IF(I231&gt;0,J231*100/I231,0)</f>
        <v>0</v>
      </c>
      <c r="L231" s="571"/>
      <c r="M231" s="571"/>
      <c r="N231" s="571"/>
      <c r="O231" s="571"/>
      <c r="P231" s="571"/>
    </row>
    <row r="232" spans="1:16" ht="19.5" hidden="1" x14ac:dyDescent="0.3">
      <c r="A232" s="535"/>
      <c r="B232" s="418"/>
      <c r="C232" s="570" t="s">
        <v>16</v>
      </c>
      <c r="D232" s="579" t="s">
        <v>17</v>
      </c>
      <c r="E232" s="418"/>
      <c r="F232" s="418"/>
      <c r="G232" s="422"/>
      <c r="H232" s="681" t="s">
        <v>12</v>
      </c>
      <c r="I232" s="526"/>
      <c r="J232" s="526"/>
      <c r="K232" s="525"/>
      <c r="L232" s="577">
        <f ca="1">L243+L254</f>
        <v>0</v>
      </c>
      <c r="M232" s="428"/>
      <c r="N232" s="577">
        <f>N243+N254</f>
        <v>0</v>
      </c>
      <c r="O232" s="428"/>
      <c r="P232" s="428"/>
    </row>
    <row r="233" spans="1:16" ht="18.75" hidden="1" x14ac:dyDescent="0.25">
      <c r="A233" s="535"/>
      <c r="B233" s="419"/>
      <c r="C233" s="418"/>
      <c r="D233" s="293" t="s">
        <v>80</v>
      </c>
      <c r="E233" s="418"/>
      <c r="F233" s="418"/>
      <c r="G233" s="422"/>
      <c r="H233" s="576" t="s">
        <v>12</v>
      </c>
      <c r="I233" s="526"/>
      <c r="J233" s="526"/>
      <c r="K233" s="525"/>
      <c r="L233" s="425">
        <f ca="1">L244+L255</f>
        <v>0</v>
      </c>
      <c r="M233" s="428"/>
      <c r="N233" s="425">
        <f>N244+N255</f>
        <v>0</v>
      </c>
      <c r="O233" s="428"/>
      <c r="P233" s="428"/>
    </row>
    <row r="234" spans="1:16" ht="18.75" hidden="1" x14ac:dyDescent="0.25">
      <c r="A234" s="417"/>
      <c r="B234" s="419"/>
      <c r="C234" s="419"/>
      <c r="D234" s="293" t="s">
        <v>82</v>
      </c>
      <c r="E234" s="418"/>
      <c r="F234" s="418"/>
      <c r="G234" s="422"/>
      <c r="H234" s="576" t="s">
        <v>12</v>
      </c>
      <c r="I234" s="427"/>
      <c r="J234" s="427"/>
      <c r="K234" s="428"/>
      <c r="L234" s="425">
        <f ca="1">L245+L256</f>
        <v>0</v>
      </c>
      <c r="M234" s="428"/>
      <c r="N234" s="425">
        <f>N245+N256</f>
        <v>0</v>
      </c>
      <c r="O234" s="428"/>
      <c r="P234" s="428"/>
    </row>
    <row r="235" spans="1:16" ht="18.75" hidden="1" x14ac:dyDescent="0.25">
      <c r="A235" s="417"/>
      <c r="B235" s="419"/>
      <c r="C235" s="419"/>
      <c r="D235" s="293" t="s">
        <v>100</v>
      </c>
      <c r="E235" s="418"/>
      <c r="F235" s="418"/>
      <c r="G235" s="422"/>
      <c r="H235" s="576" t="s">
        <v>12</v>
      </c>
      <c r="I235" s="427"/>
      <c r="J235" s="427"/>
      <c r="K235" s="428"/>
      <c r="L235" s="425">
        <f ca="1">L246+L257</f>
        <v>0</v>
      </c>
      <c r="M235" s="428"/>
      <c r="N235" s="425">
        <f>N246+N257</f>
        <v>0</v>
      </c>
      <c r="O235" s="428"/>
      <c r="P235" s="428"/>
    </row>
    <row r="236" spans="1:16" ht="18.75" hidden="1" x14ac:dyDescent="0.25">
      <c r="A236" s="417"/>
      <c r="B236" s="419"/>
      <c r="C236" s="419"/>
      <c r="D236" s="293" t="s">
        <v>101</v>
      </c>
      <c r="E236" s="418"/>
      <c r="F236" s="418"/>
      <c r="G236" s="422"/>
      <c r="H236" s="576" t="s">
        <v>12</v>
      </c>
      <c r="I236" s="427"/>
      <c r="J236" s="427"/>
      <c r="K236" s="428"/>
      <c r="L236" s="425">
        <f ca="1">L247+L258</f>
        <v>0</v>
      </c>
      <c r="M236" s="428"/>
      <c r="N236" s="425">
        <f>N247+N258</f>
        <v>0</v>
      </c>
      <c r="O236" s="428"/>
      <c r="P236" s="428"/>
    </row>
    <row r="237" spans="1:16" ht="19.5" hidden="1" x14ac:dyDescent="0.3">
      <c r="A237" s="532"/>
      <c r="B237" s="430"/>
      <c r="C237" s="680" t="s">
        <v>16</v>
      </c>
      <c r="D237" s="569" t="s">
        <v>36</v>
      </c>
      <c r="E237" s="529"/>
      <c r="F237" s="529"/>
      <c r="G237" s="528"/>
      <c r="H237" s="527"/>
      <c r="I237" s="526"/>
      <c r="J237" s="427"/>
      <c r="K237" s="428"/>
      <c r="L237" s="428"/>
      <c r="M237" s="428"/>
      <c r="N237" s="428"/>
      <c r="O237" s="525"/>
      <c r="P237" s="525"/>
    </row>
    <row r="238" spans="1:16" ht="18.75" hidden="1" x14ac:dyDescent="0.25">
      <c r="A238" s="532"/>
      <c r="B238" s="430"/>
      <c r="C238" s="430"/>
      <c r="D238" s="421" t="s">
        <v>102</v>
      </c>
      <c r="E238" s="420"/>
      <c r="F238" s="420"/>
      <c r="G238" s="527"/>
      <c r="H238" s="566" t="s">
        <v>33</v>
      </c>
      <c r="I238" s="424">
        <f ca="1">I249+I260</f>
        <v>0</v>
      </c>
      <c r="J238" s="424">
        <f>J249+J260</f>
        <v>0</v>
      </c>
      <c r="K238" s="425">
        <f ca="1">IF(I238&gt;0,J238*100/I238,0)</f>
        <v>0</v>
      </c>
      <c r="L238" s="428"/>
      <c r="M238" s="428"/>
      <c r="N238" s="428"/>
      <c r="O238" s="428"/>
      <c r="P238" s="428"/>
    </row>
    <row r="239" spans="1:16" ht="18.75" hidden="1" x14ac:dyDescent="0.25">
      <c r="A239" s="532"/>
      <c r="B239" s="430"/>
      <c r="C239" s="430"/>
      <c r="D239" s="679" t="s">
        <v>41</v>
      </c>
      <c r="E239" s="420"/>
      <c r="F239" s="420"/>
      <c r="G239" s="527"/>
      <c r="H239" s="527"/>
      <c r="I239" s="427"/>
      <c r="J239" s="427"/>
      <c r="K239" s="428"/>
      <c r="L239" s="428"/>
      <c r="M239" s="428"/>
      <c r="N239" s="428"/>
      <c r="O239" s="525"/>
      <c r="P239" s="525"/>
    </row>
    <row r="240" spans="1:16" ht="18.75" hidden="1" x14ac:dyDescent="0.25">
      <c r="A240" s="532"/>
      <c r="B240" s="430"/>
      <c r="C240" s="430"/>
      <c r="D240" s="430"/>
      <c r="E240" s="567" t="s">
        <v>103</v>
      </c>
      <c r="F240" s="420"/>
      <c r="G240" s="527"/>
      <c r="H240" s="566" t="s">
        <v>33</v>
      </c>
      <c r="I240" s="424">
        <f>I251+I262</f>
        <v>0</v>
      </c>
      <c r="J240" s="424">
        <f>J251+J262</f>
        <v>0</v>
      </c>
      <c r="K240" s="425">
        <f>IF(I240&gt;0,J240*100/I240,0)</f>
        <v>0</v>
      </c>
      <c r="L240" s="428"/>
      <c r="M240" s="428"/>
      <c r="N240" s="428"/>
      <c r="O240" s="428"/>
      <c r="P240" s="428"/>
    </row>
    <row r="241" spans="1:16" ht="18.75" hidden="1" x14ac:dyDescent="0.25">
      <c r="A241" s="532"/>
      <c r="B241" s="430"/>
      <c r="C241" s="430"/>
      <c r="D241" s="430"/>
      <c r="E241" s="567" t="s">
        <v>104</v>
      </c>
      <c r="F241" s="420"/>
      <c r="G241" s="527"/>
      <c r="H241" s="566" t="s">
        <v>54</v>
      </c>
      <c r="I241" s="424">
        <f>I252+I263</f>
        <v>0</v>
      </c>
      <c r="J241" s="424">
        <f>J252+J263</f>
        <v>0</v>
      </c>
      <c r="K241" s="425">
        <f>IF(I241&gt;0,J241*100/I241,0)</f>
        <v>0</v>
      </c>
      <c r="L241" s="428"/>
      <c r="M241" s="428"/>
      <c r="N241" s="428"/>
      <c r="O241" s="428"/>
      <c r="P241" s="428"/>
    </row>
    <row r="242" spans="1:16" ht="19.5" hidden="1" x14ac:dyDescent="0.3">
      <c r="A242" s="432"/>
      <c r="B242" s="434"/>
      <c r="C242" s="678" t="s">
        <v>105</v>
      </c>
      <c r="D242" s="433"/>
      <c r="E242" s="433"/>
      <c r="F242" s="433"/>
      <c r="G242" s="436"/>
      <c r="H242" s="677" t="s">
        <v>33</v>
      </c>
      <c r="I242" s="676">
        <f ca="1">I249</f>
        <v>0</v>
      </c>
      <c r="J242" s="676">
        <f>J249</f>
        <v>0</v>
      </c>
      <c r="K242" s="675">
        <f ca="1">IF(I242&gt;0,J242*100/I242,0)</f>
        <v>0</v>
      </c>
      <c r="L242" s="571"/>
      <c r="M242" s="571"/>
      <c r="N242" s="571"/>
      <c r="O242" s="571"/>
      <c r="P242" s="571"/>
    </row>
    <row r="243" spans="1:16" ht="19.5" hidden="1" x14ac:dyDescent="0.3">
      <c r="A243" s="535"/>
      <c r="B243" s="418"/>
      <c r="C243" s="531" t="s">
        <v>16</v>
      </c>
      <c r="D243" s="541" t="s">
        <v>17</v>
      </c>
      <c r="E243" s="418"/>
      <c r="F243" s="418"/>
      <c r="G243" s="422"/>
      <c r="H243" s="673" t="s">
        <v>12</v>
      </c>
      <c r="I243" s="526"/>
      <c r="J243" s="526"/>
      <c r="K243" s="525"/>
      <c r="L243" s="539">
        <f ca="1">L244+L245+L246+L247</f>
        <v>0</v>
      </c>
      <c r="M243" s="428"/>
      <c r="N243" s="539">
        <f>N244+N245+N246+N247</f>
        <v>0</v>
      </c>
      <c r="O243" s="539">
        <f ca="1">IF(L243&gt;0,N243*100/L243,0)</f>
        <v>0</v>
      </c>
      <c r="P243" s="539">
        <f>IF(M243&gt;0,N243*100/M243,0)</f>
        <v>0</v>
      </c>
    </row>
    <row r="244" spans="1:16" ht="18.75" hidden="1" x14ac:dyDescent="0.25">
      <c r="A244" s="535"/>
      <c r="B244" s="419"/>
      <c r="C244" s="418"/>
      <c r="D244" s="534" t="s">
        <v>80</v>
      </c>
      <c r="E244" s="418"/>
      <c r="F244" s="418"/>
      <c r="G244" s="422"/>
      <c r="H244" s="536" t="s">
        <v>12</v>
      </c>
      <c r="I244" s="526"/>
      <c r="J244" s="526"/>
      <c r="K244" s="525"/>
      <c r="L244" s="521">
        <f ca="1">IFERROR(__xludf.DUMMYFUNCTION("IMPORTRANGE(""https://docs.google.com/spreadsheets/d/1eHaY18a8A9IcSdp1K8H6x8fbOy06t2VsZHhMHf-1x7Y/edit?usp=sharing"",""แผน!AX47"")"),0)</f>
        <v>0</v>
      </c>
      <c r="M244" s="428"/>
      <c r="N244" s="672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34" t="s">
        <v>82</v>
      </c>
      <c r="E245" s="418"/>
      <c r="F245" s="418"/>
      <c r="G245" s="422"/>
      <c r="H245" s="536" t="s">
        <v>12</v>
      </c>
      <c r="I245" s="427"/>
      <c r="J245" s="427"/>
      <c r="K245" s="428"/>
      <c r="L245" s="521">
        <f ca="1">IFERROR(__xludf.DUMMYFUNCTION("IMPORTRANGE(""https://docs.google.com/spreadsheets/d/1eHaY18a8A9IcSdp1K8H6x8fbOy06t2VsZHhMHf-1x7Y/edit?usp=sharing"",""แผน!AY47"")"),0)</f>
        <v>0</v>
      </c>
      <c r="M245" s="428"/>
      <c r="N245" s="672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34" t="s">
        <v>100</v>
      </c>
      <c r="E246" s="418"/>
      <c r="F246" s="418"/>
      <c r="G246" s="422"/>
      <c r="H246" s="536" t="s">
        <v>12</v>
      </c>
      <c r="I246" s="427"/>
      <c r="J246" s="427"/>
      <c r="K246" s="428"/>
      <c r="L246" s="521">
        <f ca="1">IFERROR(__xludf.DUMMYFUNCTION("IMPORTRANGE(""https://docs.google.com/spreadsheets/d/1eHaY18a8A9IcSdp1K8H6x8fbOy06t2VsZHhMHf-1x7Y/edit?usp=sharing"",""แผน!AZ47"")"),0)</f>
        <v>0</v>
      </c>
      <c r="M246" s="428"/>
      <c r="N246" s="672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34" t="s">
        <v>101</v>
      </c>
      <c r="E247" s="418"/>
      <c r="F247" s="418"/>
      <c r="G247" s="422"/>
      <c r="H247" s="536" t="s">
        <v>12</v>
      </c>
      <c r="I247" s="427"/>
      <c r="J247" s="427"/>
      <c r="K247" s="428"/>
      <c r="L247" s="521">
        <f ca="1">IFERROR(__xludf.DUMMYFUNCTION("IMPORTRANGE(""https://docs.google.com/spreadsheets/d/1eHaY18a8A9IcSdp1K8H6x8fbOy06t2VsZHhMHf-1x7Y/edit?usp=sharing"",""แผน!BA47"")"),0)</f>
        <v>0</v>
      </c>
      <c r="M247" s="428"/>
      <c r="N247" s="672">
        <v>0</v>
      </c>
      <c r="O247" s="428"/>
      <c r="P247" s="428"/>
    </row>
    <row r="248" spans="1:16" ht="19.5" hidden="1" x14ac:dyDescent="0.3">
      <c r="A248" s="532"/>
      <c r="B248" s="430"/>
      <c r="C248" s="671" t="s">
        <v>16</v>
      </c>
      <c r="D248" s="530" t="s">
        <v>36</v>
      </c>
      <c r="E248" s="529"/>
      <c r="F248" s="529"/>
      <c r="G248" s="528"/>
      <c r="H248" s="527"/>
      <c r="I248" s="526"/>
      <c r="J248" s="427"/>
      <c r="K248" s="428"/>
      <c r="L248" s="428"/>
      <c r="M248" s="428"/>
      <c r="N248" s="428"/>
      <c r="O248" s="525"/>
      <c r="P248" s="525"/>
    </row>
    <row r="249" spans="1:16" ht="18.75" hidden="1" x14ac:dyDescent="0.25">
      <c r="A249" s="532"/>
      <c r="B249" s="430"/>
      <c r="C249" s="430"/>
      <c r="D249" s="524" t="s">
        <v>102</v>
      </c>
      <c r="E249" s="420"/>
      <c r="F249" s="420"/>
      <c r="G249" s="527"/>
      <c r="H249" s="668" t="s">
        <v>33</v>
      </c>
      <c r="I249" s="199">
        <f ca="1">IFERROR(__xludf.DUMMYFUNCTION("IMPORTRANGE(""https://docs.google.com/spreadsheets/d/1eHaY18a8A9IcSdp1K8H6x8fbOy06t2VsZHhMHf-1x7Y/edit?usp=sharing"",""แผน!BG47"")"),0)</f>
        <v>0</v>
      </c>
      <c r="J249" s="522">
        <v>0</v>
      </c>
      <c r="K249" s="521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2"/>
      <c r="B250" s="430"/>
      <c r="C250" s="430"/>
      <c r="D250" s="670" t="s">
        <v>41</v>
      </c>
      <c r="E250" s="420"/>
      <c r="F250" s="420"/>
      <c r="G250" s="527"/>
      <c r="H250" s="527"/>
      <c r="I250" s="427"/>
      <c r="J250" s="427"/>
      <c r="K250" s="428"/>
      <c r="L250" s="428"/>
      <c r="M250" s="428"/>
      <c r="N250" s="428"/>
      <c r="O250" s="525"/>
      <c r="P250" s="525"/>
    </row>
    <row r="251" spans="1:16" ht="18.75" hidden="1" x14ac:dyDescent="0.25">
      <c r="A251" s="532"/>
      <c r="B251" s="430"/>
      <c r="C251" s="430"/>
      <c r="D251" s="430"/>
      <c r="E251" s="669" t="s">
        <v>103</v>
      </c>
      <c r="F251" s="420"/>
      <c r="G251" s="527"/>
      <c r="H251" s="668" t="s">
        <v>33</v>
      </c>
      <c r="I251" s="199">
        <v>0</v>
      </c>
      <c r="J251" s="522">
        <v>0</v>
      </c>
      <c r="K251" s="521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2"/>
      <c r="B252" s="430"/>
      <c r="C252" s="430"/>
      <c r="D252" s="430"/>
      <c r="E252" s="669" t="s">
        <v>104</v>
      </c>
      <c r="F252" s="420"/>
      <c r="G252" s="527"/>
      <c r="H252" s="668" t="s">
        <v>54</v>
      </c>
      <c r="I252" s="199">
        <v>0</v>
      </c>
      <c r="J252" s="522">
        <v>0</v>
      </c>
      <c r="K252" s="521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78" t="s">
        <v>106</v>
      </c>
      <c r="D253" s="433"/>
      <c r="E253" s="433"/>
      <c r="F253" s="433"/>
      <c r="G253" s="436"/>
      <c r="H253" s="677" t="s">
        <v>33</v>
      </c>
      <c r="I253" s="676">
        <f ca="1">I260</f>
        <v>0</v>
      </c>
      <c r="J253" s="676">
        <f>J260</f>
        <v>0</v>
      </c>
      <c r="K253" s="675">
        <f ca="1">IF(I253&gt;0,J253*100/I253,0)</f>
        <v>0</v>
      </c>
      <c r="L253" s="571"/>
      <c r="M253" s="571"/>
      <c r="N253" s="571"/>
      <c r="O253" s="571"/>
      <c r="P253" s="571"/>
    </row>
    <row r="254" spans="1:16" ht="19.5" hidden="1" x14ac:dyDescent="0.3">
      <c r="A254" s="535"/>
      <c r="B254" s="418"/>
      <c r="C254" s="531" t="s">
        <v>16</v>
      </c>
      <c r="D254" s="674" t="s">
        <v>17</v>
      </c>
      <c r="E254" s="418"/>
      <c r="F254" s="418"/>
      <c r="G254" s="422"/>
      <c r="H254" s="673" t="s">
        <v>12</v>
      </c>
      <c r="I254" s="526"/>
      <c r="J254" s="526"/>
      <c r="K254" s="525"/>
      <c r="L254" s="539">
        <f ca="1">L255+L256+L257+L258</f>
        <v>0</v>
      </c>
      <c r="M254" s="428"/>
      <c r="N254" s="539">
        <f>N255+N256+N257+N258</f>
        <v>0</v>
      </c>
      <c r="O254" s="539">
        <f ca="1">IF(L254&gt;0,N254*100/L254,0)</f>
        <v>0</v>
      </c>
      <c r="P254" s="539">
        <f>IF(M254&gt;0,N254*100/M254,0)</f>
        <v>0</v>
      </c>
    </row>
    <row r="255" spans="1:16" ht="18.75" hidden="1" x14ac:dyDescent="0.25">
      <c r="A255" s="535"/>
      <c r="B255" s="419"/>
      <c r="C255" s="418"/>
      <c r="D255" s="534" t="s">
        <v>80</v>
      </c>
      <c r="E255" s="418"/>
      <c r="F255" s="418"/>
      <c r="G255" s="422"/>
      <c r="H255" s="536" t="s">
        <v>12</v>
      </c>
      <c r="I255" s="526"/>
      <c r="J255" s="526"/>
      <c r="K255" s="525"/>
      <c r="L255" s="521">
        <f ca="1">IFERROR(__xludf.DUMMYFUNCTION("IMPORTRANGE(""https://docs.google.com/spreadsheets/d/1eHaY18a8A9IcSdp1K8H6x8fbOy06t2VsZHhMHf-1x7Y/edit?usp=sharing"",""แผน!BB47"")"),0)</f>
        <v>0</v>
      </c>
      <c r="M255" s="428"/>
      <c r="N255" s="672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34" t="s">
        <v>82</v>
      </c>
      <c r="E256" s="418"/>
      <c r="F256" s="418"/>
      <c r="G256" s="422"/>
      <c r="H256" s="536" t="s">
        <v>12</v>
      </c>
      <c r="I256" s="427"/>
      <c r="J256" s="427"/>
      <c r="K256" s="428"/>
      <c r="L256" s="521">
        <f ca="1">IFERROR(__xludf.DUMMYFUNCTION("IMPORTRANGE(""https://docs.google.com/spreadsheets/d/1eHaY18a8A9IcSdp1K8H6x8fbOy06t2VsZHhMHf-1x7Y/edit?usp=sharing"",""แผน!BC47"")"),0)</f>
        <v>0</v>
      </c>
      <c r="M256" s="428"/>
      <c r="N256" s="672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34" t="s">
        <v>100</v>
      </c>
      <c r="E257" s="418"/>
      <c r="F257" s="418"/>
      <c r="G257" s="422"/>
      <c r="H257" s="536" t="s">
        <v>12</v>
      </c>
      <c r="I257" s="427"/>
      <c r="J257" s="427"/>
      <c r="K257" s="428"/>
      <c r="L257" s="521">
        <f ca="1">IFERROR(__xludf.DUMMYFUNCTION("IMPORTRANGE(""https://docs.google.com/spreadsheets/d/1eHaY18a8A9IcSdp1K8H6x8fbOy06t2VsZHhMHf-1x7Y/edit?usp=sharing"",""แผน!BD47"")"),0)</f>
        <v>0</v>
      </c>
      <c r="M257" s="428"/>
      <c r="N257" s="672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34" t="s">
        <v>101</v>
      </c>
      <c r="E258" s="418"/>
      <c r="F258" s="418"/>
      <c r="G258" s="422"/>
      <c r="H258" s="536" t="s">
        <v>12</v>
      </c>
      <c r="I258" s="427"/>
      <c r="J258" s="427"/>
      <c r="K258" s="428"/>
      <c r="L258" s="521">
        <f ca="1">IFERROR(__xludf.DUMMYFUNCTION("IMPORTRANGE(""https://docs.google.com/spreadsheets/d/1eHaY18a8A9IcSdp1K8H6x8fbOy06t2VsZHhMHf-1x7Y/edit?usp=sharing"",""แผน!BE47"")"),0)</f>
        <v>0</v>
      </c>
      <c r="M258" s="428"/>
      <c r="N258" s="672">
        <v>0</v>
      </c>
      <c r="O258" s="428"/>
      <c r="P258" s="428"/>
    </row>
    <row r="259" spans="1:16" ht="19.5" hidden="1" x14ac:dyDescent="0.3">
      <c r="A259" s="532"/>
      <c r="B259" s="430"/>
      <c r="C259" s="671" t="s">
        <v>16</v>
      </c>
      <c r="D259" s="530" t="s">
        <v>36</v>
      </c>
      <c r="E259" s="529"/>
      <c r="F259" s="529"/>
      <c r="G259" s="528"/>
      <c r="H259" s="527"/>
      <c r="I259" s="526"/>
      <c r="J259" s="427"/>
      <c r="K259" s="428"/>
      <c r="L259" s="428"/>
      <c r="M259" s="428"/>
      <c r="N259" s="428"/>
      <c r="O259" s="525"/>
      <c r="P259" s="525"/>
    </row>
    <row r="260" spans="1:16" ht="18.75" hidden="1" x14ac:dyDescent="0.25">
      <c r="A260" s="532"/>
      <c r="B260" s="430"/>
      <c r="C260" s="430"/>
      <c r="D260" s="524" t="s">
        <v>102</v>
      </c>
      <c r="E260" s="420"/>
      <c r="F260" s="420"/>
      <c r="G260" s="527"/>
      <c r="H260" s="668" t="s">
        <v>33</v>
      </c>
      <c r="I260" s="199">
        <f ca="1">IFERROR(__xludf.DUMMYFUNCTION("IMPORTRANGE(""https://docs.google.com/spreadsheets/d/1eHaY18a8A9IcSdp1K8H6x8fbOy06t2VsZHhMHf-1x7Y/edit?usp=sharing"",""แผน!BH47"")"),0)</f>
        <v>0</v>
      </c>
      <c r="J260" s="522">
        <v>0</v>
      </c>
      <c r="K260" s="521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2"/>
      <c r="B261" s="430"/>
      <c r="C261" s="430"/>
      <c r="D261" s="670" t="s">
        <v>41</v>
      </c>
      <c r="E261" s="420"/>
      <c r="F261" s="420"/>
      <c r="G261" s="527"/>
      <c r="H261" s="527"/>
      <c r="I261" s="427"/>
      <c r="J261" s="427"/>
      <c r="K261" s="428"/>
      <c r="L261" s="428"/>
      <c r="M261" s="428"/>
      <c r="N261" s="428"/>
      <c r="O261" s="525"/>
      <c r="P261" s="525"/>
    </row>
    <row r="262" spans="1:16" ht="18.75" hidden="1" x14ac:dyDescent="0.25">
      <c r="A262" s="532"/>
      <c r="B262" s="430"/>
      <c r="C262" s="430"/>
      <c r="D262" s="430"/>
      <c r="E262" s="669" t="s">
        <v>103</v>
      </c>
      <c r="F262" s="420"/>
      <c r="G262" s="527"/>
      <c r="H262" s="668" t="s">
        <v>33</v>
      </c>
      <c r="I262" s="427"/>
      <c r="J262" s="522">
        <v>0</v>
      </c>
      <c r="K262" s="521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2"/>
      <c r="B263" s="430"/>
      <c r="C263" s="430"/>
      <c r="D263" s="430"/>
      <c r="E263" s="669" t="s">
        <v>104</v>
      </c>
      <c r="F263" s="420"/>
      <c r="G263" s="527"/>
      <c r="H263" s="668" t="s">
        <v>54</v>
      </c>
      <c r="I263" s="427"/>
      <c r="J263" s="522">
        <v>0</v>
      </c>
      <c r="K263" s="521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IFERROR(__xludf.DUMMYFUNCTION("IMPORTRANGE(""https://docs.google.com/spreadsheets/d/1-uDff_7J0KD5mKrp0Vvzr7lt3OU09vwQwhkpOPPYv2Y/edit?usp=sharing"",""งบพรบ!DE47"")"),0)</f>
        <v>0</v>
      </c>
      <c r="M271" s="521">
        <f ca="1">IFERROR(__xludf.DUMMYFUNCTION("IMPORTRANGE(""https://docs.google.com/spreadsheets/d/1-uDff_7J0KD5mKrp0Vvzr7lt3OU09vwQwhkpOPPYv2Y/edit?usp=sharing"",""งบพรบ!DJ47"")"),0)</f>
        <v>0</v>
      </c>
      <c r="N271" s="521">
        <f ca="1">IFERROR(__xludf.DUMMYFUNCTION("IMPORTRANGE(""https://docs.google.com/spreadsheets/d/1-uDff_7J0KD5mKrp0Vvzr7lt3OU09vwQwhkpOPPYv2Y/edit?usp=sharing"",""งบพรบ!DL47"")"),0)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IFERROR(__xludf.DUMMYFUNCTION("IMPORTRANGE(""https://docs.google.com/spreadsheets/d/1-uDff_7J0KD5mKrp0Vvzr7lt3OU09vwQwhkpOPPYv2Y/edit?usp=sharing"",""งบพรบ!DH47"")"),0)</f>
        <v>0</v>
      </c>
      <c r="M274" s="521">
        <f ca="1">IFERROR(__xludf.DUMMYFUNCTION("IMPORTRANGE(""https://docs.google.com/spreadsheets/d/1-uDff_7J0KD5mKrp0Vvzr7lt3OU09vwQwhkpOPPYv2Y/edit?usp=sharing"",""งบพรบ!DK47"")"),0)</f>
        <v>0</v>
      </c>
      <c r="N274" s="521">
        <f ca="1">IFERROR(__xludf.DUMMYFUNCTION("IMPORTRANGE(""https://docs.google.com/spreadsheets/d/1-uDff_7J0KD5mKrp0Vvzr7lt3OU09vwQwhkpOPPYv2Y/edit?usp=sharing"",""งบพรบ!DM47"")"),0)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hidden="1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hidden="1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hidden="1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0</v>
      </c>
      <c r="J280" s="629">
        <f>J293</f>
        <v>0</v>
      </c>
      <c r="K280" s="628">
        <f ca="1">IF(I280&gt;0,J280*100/I280,0)</f>
        <v>0</v>
      </c>
      <c r="L280" s="627"/>
      <c r="M280" s="627"/>
      <c r="N280" s="627"/>
      <c r="O280" s="627"/>
      <c r="P280" s="627"/>
    </row>
    <row r="281" spans="1:16" ht="19.5" hidden="1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0</v>
      </c>
      <c r="J281" s="629">
        <f>J292</f>
        <v>0</v>
      </c>
      <c r="K281" s="628">
        <f ca="1">IF(I281&gt;0,J281*100/I281,0)</f>
        <v>0</v>
      </c>
      <c r="L281" s="627"/>
      <c r="M281" s="627"/>
      <c r="N281" s="627"/>
      <c r="O281" s="627"/>
      <c r="P281" s="627"/>
    </row>
    <row r="282" spans="1:16" ht="19.5" hidden="1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0</v>
      </c>
      <c r="M282" s="577">
        <f ca="1">M283+M284</f>
        <v>0</v>
      </c>
      <c r="N282" s="577">
        <f ca="1">N283+N284</f>
        <v>0</v>
      </c>
      <c r="O282" s="577">
        <f ca="1">IF(L282&gt;0,N282*100/L282,0)</f>
        <v>0</v>
      </c>
      <c r="P282" s="577">
        <f ca="1">IF(M282&gt;0,N282*100/M282,0)</f>
        <v>0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hidden="1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0</v>
      </c>
      <c r="M284" s="425">
        <f ca="1">M287+M290</f>
        <v>0</v>
      </c>
      <c r="N284" s="425">
        <f ca="1">N287+N290</f>
        <v>0</v>
      </c>
      <c r="O284" s="425">
        <f ca="1">IF(L284&gt;0,N284*100/L284,0)</f>
        <v>0</v>
      </c>
      <c r="P284" s="425">
        <f ca="1">IF(M284&gt;0,N284*100/M284,0)</f>
        <v>0</v>
      </c>
    </row>
    <row r="285" spans="1:16" ht="18.75" hidden="1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0</v>
      </c>
      <c r="M285" s="425">
        <f ca="1">M286+M287</f>
        <v>0</v>
      </c>
      <c r="N285" s="425">
        <f ca="1">N286+N287</f>
        <v>0</v>
      </c>
      <c r="O285" s="425">
        <f ca="1">IF(L285&gt;0,N285*100/L285,0)</f>
        <v>0</v>
      </c>
      <c r="P285" s="425">
        <f ca="1">IF(M285&gt;0,N285*100/M285,0)</f>
        <v>0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hidden="1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IFERROR(__xludf.DUMMYFUNCTION("IMPORTRANGE(""https://docs.google.com/spreadsheets/d/1-uDff_7J0KD5mKrp0Vvzr7lt3OU09vwQwhkpOPPYv2Y/edit?usp=sharing"",""งบพรบ!DO47"")"),0)</f>
        <v>0</v>
      </c>
      <c r="M287" s="425">
        <f ca="1">IFERROR(__xludf.DUMMYFUNCTION("IMPORTRANGE(""https://docs.google.com/spreadsheets/d/1-uDff_7J0KD5mKrp0Vvzr7lt3OU09vwQwhkpOPPYv2Y/edit?usp=sharing"",""งบพรบ!DT47"")"),0)</f>
        <v>0</v>
      </c>
      <c r="N287" s="425">
        <f ca="1">IFERROR(__xludf.DUMMYFUNCTION("IMPORTRANGE(""https://docs.google.com/spreadsheets/d/1-uDff_7J0KD5mKrp0Vvzr7lt3OU09vwQwhkpOPPYv2Y/edit?usp=sharing"",""งบพรบ!DV47"")"),0)</f>
        <v>0</v>
      </c>
      <c r="O287" s="425">
        <f ca="1">IF(L287&gt;0,N287*100/L287,0)</f>
        <v>0</v>
      </c>
      <c r="P287" s="425">
        <f ca="1">IF(M287&gt;0,N287*100/M287,0)</f>
        <v>0</v>
      </c>
    </row>
    <row r="288" spans="1:16" ht="18.75" hidden="1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hidden="1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IFERROR(__xludf.DUMMYFUNCTION("IMPORTRANGE(""https://docs.google.com/spreadsheets/d/1-uDff_7J0KD5mKrp0Vvzr7lt3OU09vwQwhkpOPPYv2Y/edit?usp=sharing"",""งบพรบ!DR47"")"),0)</f>
        <v>0</v>
      </c>
      <c r="M290" s="425">
        <f ca="1">IFERROR(__xludf.DUMMYFUNCTION("IMPORTRANGE(""https://docs.google.com/spreadsheets/d/1-uDff_7J0KD5mKrp0Vvzr7lt3OU09vwQwhkpOPPYv2Y/edit?usp=sharing"",""งบพรบ!DU47"")"),0)</f>
        <v>0</v>
      </c>
      <c r="N290" s="425">
        <f ca="1">IFERROR(__xludf.DUMMYFUNCTION("IMPORTRANGE(""https://docs.google.com/spreadsheets/d/1-uDff_7J0KD5mKrp0Vvzr7lt3OU09vwQwhkpOPPYv2Y/edit?usp=sharing"",""งบพรบ!DW47"")"),0)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hidden="1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hidden="1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IFERROR(__xludf.DUMMYFUNCTION("IMPORTRANGE(""https://docs.google.com/spreadsheets/d/1eHaY18a8A9IcSdp1K8H6x8fbOy06t2VsZHhMHf-1x7Y/edit?usp=sharing"",""แผน!EE47"")"),0)</f>
        <v>0</v>
      </c>
      <c r="J292" s="595">
        <v>0</v>
      </c>
      <c r="K292" s="621">
        <f ca="1">IF(I292&gt;0,J292*100/I292,0)</f>
        <v>0</v>
      </c>
      <c r="L292" s="525"/>
      <c r="M292" s="525"/>
      <c r="N292" s="525"/>
      <c r="O292" s="525"/>
      <c r="P292" s="525"/>
    </row>
    <row r="293" spans="1:16" ht="19.5" hidden="1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IFERROR(__xludf.DUMMYFUNCTION("IMPORTRANGE(""https://docs.google.com/spreadsheets/d/1eHaY18a8A9IcSdp1K8H6x8fbOy06t2VsZHhMHf-1x7Y/edit?usp=sharing"",""แผน!ED47"")"),0)</f>
        <v>0</v>
      </c>
      <c r="J293" s="625">
        <f>J296</f>
        <v>0</v>
      </c>
      <c r="K293" s="624">
        <f ca="1">IF(I293&gt;0,J293*100/I293,0)</f>
        <v>0</v>
      </c>
      <c r="L293" s="525"/>
      <c r="M293" s="525"/>
      <c r="N293" s="525"/>
      <c r="O293" s="525"/>
      <c r="P293" s="525"/>
    </row>
    <row r="294" spans="1:16" ht="19.5" hidden="1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hidden="1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IFERROR(__xludf.DUMMYFUNCTION("IMPORTRANGE(""https://docs.google.com/spreadsheets/d/1eHaY18a8A9IcSdp1K8H6x8fbOy06t2VsZHhMHf-1x7Y/edit?usp=sharing"",""แผน!ED47"")"),0)</f>
        <v>0</v>
      </c>
      <c r="J295" s="595">
        <v>0</v>
      </c>
      <c r="K295" s="621">
        <f ca="1">IF(I295&gt;0,J295*100/I295,0)</f>
        <v>0</v>
      </c>
      <c r="L295" s="525"/>
      <c r="M295" s="525"/>
      <c r="N295" s="525"/>
      <c r="O295" s="525"/>
      <c r="P295" s="525"/>
    </row>
    <row r="296" spans="1:16" ht="19.5" hidden="1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IFERROR(__xludf.DUMMYFUNCTION("IMPORTRANGE(""https://docs.google.com/spreadsheets/d/1eHaY18a8A9IcSdp1K8H6x8fbOy06t2VsZHhMHf-1x7Y/edit?usp=sharing"",""แผน!ED47"")"),0)</f>
        <v>0</v>
      </c>
      <c r="J296" s="595">
        <v>0</v>
      </c>
      <c r="K296" s="621">
        <f ca="1">IF(I296&gt;0,J296*100/I296,0)</f>
        <v>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hidden="1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hidden="1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hidden="1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0</v>
      </c>
      <c r="J302" s="598">
        <f>J314</f>
        <v>0</v>
      </c>
      <c r="K302" s="597">
        <f ca="1">IF(I302&gt;0,J302*100/I302,0)</f>
        <v>0</v>
      </c>
      <c r="L302" s="580"/>
      <c r="M302" s="580"/>
      <c r="N302" s="580"/>
      <c r="O302" s="580"/>
      <c r="P302" s="580"/>
    </row>
    <row r="303" spans="1:16" ht="19.5" hidden="1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0</v>
      </c>
      <c r="M303" s="577">
        <f ca="1">M304+M305</f>
        <v>0</v>
      </c>
      <c r="N303" s="577">
        <f ca="1">N304+N305</f>
        <v>0</v>
      </c>
      <c r="O303" s="577">
        <f ca="1">IF(L303&gt;0,N303*100/L303,0)</f>
        <v>0</v>
      </c>
      <c r="P303" s="577">
        <f ca="1">IF(M303&gt;0,N303*100/M303,0)</f>
        <v>0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hidden="1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0</v>
      </c>
      <c r="M305" s="425">
        <f ca="1">M308+M311</f>
        <v>0</v>
      </c>
      <c r="N305" s="425">
        <f ca="1">N308+N311</f>
        <v>0</v>
      </c>
      <c r="O305" s="425">
        <f ca="1">IF(L305&gt;0,N305*100/L305,0)</f>
        <v>0</v>
      </c>
      <c r="P305" s="425">
        <f ca="1">IF(M305&gt;0,N305*100/M305,0)</f>
        <v>0</v>
      </c>
    </row>
    <row r="306" spans="1:16" ht="18.75" hidden="1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0</v>
      </c>
      <c r="M306" s="425">
        <f ca="1">M307+M308</f>
        <v>0</v>
      </c>
      <c r="N306" s="425">
        <f ca="1">N307+N308</f>
        <v>0</v>
      </c>
      <c r="O306" s="425">
        <f ca="1">IF(L306&gt;0,N306*100/L306,0)</f>
        <v>0</v>
      </c>
      <c r="P306" s="425">
        <f ca="1">IF(M306&gt;0,N306*100/M306,0)</f>
        <v>0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hidden="1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IFERROR(__xludf.DUMMYFUNCTION("IMPORTRANGE(""https://docs.google.com/spreadsheets/d/1-uDff_7J0KD5mKrp0Vvzr7lt3OU09vwQwhkpOPPYv2Y/edit?usp=sharing"",""งบพรบ!DY47"")"),0)</f>
        <v>0</v>
      </c>
      <c r="M308" s="425">
        <f ca="1">IFERROR(__xludf.DUMMYFUNCTION("IMPORTRANGE(""https://docs.google.com/spreadsheets/d/1-uDff_7J0KD5mKrp0Vvzr7lt3OU09vwQwhkpOPPYv2Y/edit?usp=sharing"",""งบพรบ!ED47"")"),0)</f>
        <v>0</v>
      </c>
      <c r="N308" s="425">
        <f ca="1">IFERROR(__xludf.DUMMYFUNCTION("IMPORTRANGE(""https://docs.google.com/spreadsheets/d/1-uDff_7J0KD5mKrp0Vvzr7lt3OU09vwQwhkpOPPYv2Y/edit?usp=sharing"",""งบพรบ!EF47"")"),0)</f>
        <v>0</v>
      </c>
      <c r="O308" s="425">
        <f ca="1">IF(L308&gt;0,N308*100/L308,0)</f>
        <v>0</v>
      </c>
      <c r="P308" s="425">
        <f ca="1">IF(M308&gt;0,N308*100/M308,0)</f>
        <v>0</v>
      </c>
    </row>
    <row r="309" spans="1:16" ht="18.75" hidden="1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hidden="1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IFERROR(__xludf.DUMMYFUNCTION("IMPORTRANGE(""https://docs.google.com/spreadsheets/d/1-uDff_7J0KD5mKrp0Vvzr7lt3OU09vwQwhkpOPPYv2Y/edit?usp=sharing"",""งบพรบ!EB47"")"),0)</f>
        <v>0</v>
      </c>
      <c r="M311" s="425">
        <f ca="1">IFERROR(__xludf.DUMMYFUNCTION("IMPORTRANGE(""https://docs.google.com/spreadsheets/d/1-uDff_7J0KD5mKrp0Vvzr7lt3OU09vwQwhkpOPPYv2Y/edit?usp=sharing"",""งบพรบ!EE47"")"),0)</f>
        <v>0</v>
      </c>
      <c r="N311" s="425">
        <f ca="1">IFERROR(__xludf.DUMMYFUNCTION("IMPORTRANGE(""https://docs.google.com/spreadsheets/d/1-uDff_7J0KD5mKrp0Vvzr7lt3OU09vwQwhkpOPPYv2Y/edit?usp=sharing"",""งบพรบ!EG47"")"),0)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hidden="1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hidden="1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0</v>
      </c>
      <c r="K313" s="428"/>
      <c r="L313" s="428"/>
      <c r="M313" s="428"/>
      <c r="N313" s="428"/>
      <c r="O313" s="428"/>
      <c r="P313" s="428"/>
    </row>
    <row r="314" spans="1:16" ht="18.75" hidden="1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IFERROR(__xludf.DUMMYFUNCTION("IMPORTRANGE(""https://docs.google.com/spreadsheets/d/1eHaY18a8A9IcSdp1K8H6x8fbOy06t2VsZHhMHf-1x7Y/edit?usp=sharing"",""แผน!EF47"")"),0)</f>
        <v>0</v>
      </c>
      <c r="J314" s="595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hidden="1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IFERROR(__xludf.DUMMYFUNCTION("IMPORTRANGE(""https://docs.google.com/spreadsheets/d/1eHaY18a8A9IcSdp1K8H6x8fbOy06t2VsZHhMHf-1x7Y/edit?usp=sharing"",""แผน!EG47"")"),0)</f>
        <v>0</v>
      </c>
      <c r="J315" s="595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hidden="1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IFERROR(__xludf.DUMMYFUNCTION("IMPORTRANGE(""https://docs.google.com/spreadsheets/d/1eHaY18a8A9IcSdp1K8H6x8fbOy06t2VsZHhMHf-1x7Y/edit?usp=sharing"",""แผน!EH47"")"),0)</f>
        <v>0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199">
        <f ca="1">IFERROR(__xludf.DUMMYFUNCTION("IMPORTRANGE(""https://docs.google.com/spreadsheets/d/1eHaY18a8A9IcSdp1K8H6x8fbOy06t2VsZHhMHf-1x7Y/edit?usp=sharing"",""แผน!EI47"")"),0)</f>
        <v>0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hidden="1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0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hidden="1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0</v>
      </c>
      <c r="M320" s="577">
        <f ca="1">M321+M322</f>
        <v>0</v>
      </c>
      <c r="N320" s="577">
        <f ca="1">N321+N322</f>
        <v>0</v>
      </c>
      <c r="O320" s="577">
        <f ca="1">IF(L320&gt;0,N320*100/L320,0)</f>
        <v>0</v>
      </c>
      <c r="P320" s="577">
        <f ca="1">IF(M320&gt;0,N320*100/M320,0)</f>
        <v>0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hidden="1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hidden="1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IFERROR(__xludf.DUMMYFUNCTION("IMPORTRANGE(""https://docs.google.com/spreadsheets/d/1-uDff_7J0KD5mKrp0Vvzr7lt3OU09vwQwhkpOPPYv2Y/edit?usp=sharing"",""งบพรบ!EI47"")"),0)</f>
        <v>0</v>
      </c>
      <c r="M325" s="425">
        <f ca="1">IFERROR(__xludf.DUMMYFUNCTION("IMPORTRANGE(""https://docs.google.com/spreadsheets/d/1-uDff_7J0KD5mKrp0Vvzr7lt3OU09vwQwhkpOPPYv2Y/edit?usp=sharing"",""งบพรบ!EN47"")"),0)</f>
        <v>0</v>
      </c>
      <c r="N325" s="425">
        <f ca="1">IFERROR(__xludf.DUMMYFUNCTION("IMPORTRANGE(""https://docs.google.com/spreadsheets/d/1-uDff_7J0KD5mKrp0Vvzr7lt3OU09vwQwhkpOPPYv2Y/edit?usp=sharing"",""งบพรบ!EP47"")"),0)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hidden="1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IFERROR(__xludf.DUMMYFUNCTION("IMPORTRANGE(""https://docs.google.com/spreadsheets/d/1-uDff_7J0KD5mKrp0Vvzr7lt3OU09vwQwhkpOPPYv2Y/edit?usp=sharing"",""งบพรบ!EL47"")"),0)</f>
        <v>0</v>
      </c>
      <c r="M328" s="425">
        <f ca="1">IFERROR(__xludf.DUMMYFUNCTION("IMPORTRANGE(""https://docs.google.com/spreadsheets/d/1-uDff_7J0KD5mKrp0Vvzr7lt3OU09vwQwhkpOPPYv2Y/edit?usp=sharing"",""งบพรบ!EO47"")"),0)</f>
        <v>0</v>
      </c>
      <c r="N328" s="425">
        <f ca="1">IFERROR(__xludf.DUMMYFUNCTION("IMPORTRANGE(""https://docs.google.com/spreadsheets/d/1-uDff_7J0KD5mKrp0Vvzr7lt3OU09vwQwhkpOPPYv2Y/edit?usp=sharing"",""งบพรบ!EQ47"")"),0)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hidden="1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IFERROR(__xludf.DUMMYFUNCTION("IMPORTRANGE(""https://docs.google.com/spreadsheets/d/1eHaY18a8A9IcSdp1K8H6x8fbOy06t2VsZHhMHf-1x7Y/edit?usp=sharing"",""แผน!EJ47"")"),0)</f>
        <v>0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2540</v>
      </c>
      <c r="J332" s="402">
        <f ca="1">J344+J347+J348+J349+J353</f>
        <v>3941</v>
      </c>
      <c r="K332" s="403">
        <f ca="1">IF(I332&gt;0,J332*100/I332,0)</f>
        <v>155.15748031496062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113000</v>
      </c>
      <c r="M333" s="577">
        <f ca="1">M334+M335</f>
        <v>88150</v>
      </c>
      <c r="N333" s="577">
        <f ca="1">N334+N335</f>
        <v>46790</v>
      </c>
      <c r="O333" s="577">
        <f ca="1">IF(L333&gt;0,N333*100/L333,0)</f>
        <v>41.407079646017699</v>
      </c>
      <c r="P333" s="577">
        <f ca="1">IF(M333&gt;0,N333*100/M333,0)</f>
        <v>53.079977311401024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113000</v>
      </c>
      <c r="M335" s="425">
        <f ca="1">M338+M341</f>
        <v>88150</v>
      </c>
      <c r="N335" s="425">
        <f ca="1">N338+N341</f>
        <v>46790</v>
      </c>
      <c r="O335" s="425">
        <f ca="1">IF(L335&gt;0,N335*100/L335,0)</f>
        <v>41.407079646017699</v>
      </c>
      <c r="P335" s="425">
        <f ca="1">IF(M335&gt;0,N335*100/M335,0)</f>
        <v>53.079977311401024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113000</v>
      </c>
      <c r="M336" s="425">
        <f ca="1">M337+M338</f>
        <v>88150</v>
      </c>
      <c r="N336" s="425">
        <f ca="1">N337+N338</f>
        <v>46790</v>
      </c>
      <c r="O336" s="425">
        <f ca="1">IF(L336&gt;0,N336*100/L336,0)</f>
        <v>41.407079646017699</v>
      </c>
      <c r="P336" s="425">
        <f ca="1">IF(M336&gt;0,N336*100/M336,0)</f>
        <v>53.079977311401024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IFERROR(__xludf.DUMMYFUNCTION("IMPORTRANGE(""https://docs.google.com/spreadsheets/d/1-uDff_7J0KD5mKrp0Vvzr7lt3OU09vwQwhkpOPPYv2Y/edit?usp=sharing"",""งบพรบ!ES47"")"),113000)</f>
        <v>113000</v>
      </c>
      <c r="M338" s="425">
        <f ca="1">IFERROR(__xludf.DUMMYFUNCTION("IMPORTRANGE(""https://docs.google.com/spreadsheets/d/1-uDff_7J0KD5mKrp0Vvzr7lt3OU09vwQwhkpOPPYv2Y/edit?usp=sharing"",""งบพรบ!EX47"")"),88150)</f>
        <v>88150</v>
      </c>
      <c r="N338" s="425">
        <f ca="1">IFERROR(__xludf.DUMMYFUNCTION("IMPORTRANGE(""https://docs.google.com/spreadsheets/d/1-uDff_7J0KD5mKrp0Vvzr7lt3OU09vwQwhkpOPPYv2Y/edit?usp=sharing"",""งบพรบ!EZ47"")"),46790)</f>
        <v>46790</v>
      </c>
      <c r="O338" s="425">
        <f ca="1">IF(L338&gt;0,N338*100/L338,0)</f>
        <v>41.407079646017699</v>
      </c>
      <c r="P338" s="425">
        <f ca="1">IF(M338&gt;0,N338*100/M338,0)</f>
        <v>53.079977311401024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IFERROR(__xludf.DUMMYFUNCTION("IMPORTRANGE(""https://docs.google.com/spreadsheets/d/1-uDff_7J0KD5mKrp0Vvzr7lt3OU09vwQwhkpOPPYv2Y/edit?usp=sharing"",""งบพรบ!EV47"")"),0)</f>
        <v>0</v>
      </c>
      <c r="M341" s="425">
        <f ca="1">IFERROR(__xludf.DUMMYFUNCTION("IMPORTRANGE(""https://docs.google.com/spreadsheets/d/1-uDff_7J0KD5mKrp0Vvzr7lt3OU09vwQwhkpOPPYv2Y/edit?usp=sharing"",""งบพรบ!EY47"")"),0)</f>
        <v>0</v>
      </c>
      <c r="N341" s="425">
        <f ca="1">IFERROR(__xludf.DUMMYFUNCTION("IMPORTRANGE(""https://docs.google.com/spreadsheets/d/1-uDff_7J0KD5mKrp0Vvzr7lt3OU09vwQwhkpOPPYv2Y/edit?usp=sharing"",""งบพรบ!FA47"")"),0)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800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IFERROR(__xludf.DUMMYFUNCTION("IMPORTRANGE(""https://docs.google.com/spreadsheets/d/1eHaY18a8A9IcSdp1K8H6x8fbOy06t2VsZHhMHf-1x7Y/edit?usp=sharing"",""แผน!EK47"")"),2540)</f>
        <v>2540</v>
      </c>
      <c r="J344" s="424">
        <f ca="1">IFERROR(__xludf.DUMMYFUNCTION("IMPORTRANGE(""https://docs.google.com/spreadsheets/d/1awYsYK3VOup2i3Pq_Yjnu8DRu_mYwSBnCR2QPthd0rU/edit?usp=sharing"",""ศูนย์ยกเว้นโฉนด!D47"")"),800)</f>
        <v>800</v>
      </c>
      <c r="K344" s="425">
        <f ca="1">IF(I344&gt;0,J344*100/I344,0)</f>
        <v>31.496062992125985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IFERROR(__xludf.DUMMYFUNCTION("IMPORTRANGE(""https://docs.google.com/spreadsheets/d/1eHaY18a8A9IcSdp1K8H6x8fbOy06t2VsZHhMHf-1x7Y/edit?usp=sharing"",""แผน!EL47"")"),5)</f>
        <v>5</v>
      </c>
      <c r="J346" s="424">
        <f ca="1">IFERROR(__xludf.DUMMYFUNCTION("IMPORTRANGE(""https://docs.google.com/spreadsheets/d/1awYsYK3VOup2i3Pq_Yjnu8DRu_mYwSBnCR2QPthd0rU/edit?usp=sharing"",""ศูนย์รวม!E47"")"),2)</f>
        <v>2</v>
      </c>
      <c r="K346" s="425">
        <f ca="1">IF(I346&gt;0,J346*100/I346,0)</f>
        <v>40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IFERROR(__xludf.DUMMYFUNCTION("IMPORTRANGE(""https://docs.google.com/spreadsheets/d/1awYsYK3VOup2i3Pq_Yjnu8DRu_mYwSBnCR2QPthd0rU/edit?usp=sharing"",""ศูนย์ยกเว้นโฉนด!F47"")"),0)</f>
        <v>0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IFERROR(__xludf.DUMMYFUNCTION("IMPORTRANGE(""https://docs.google.com/spreadsheets/d/1awYsYK3VOup2i3Pq_Yjnu8DRu_mYwSBnCR2QPthd0rU/edit?usp=sharing"",""ศูนย์ยกเว้นโฉนด!G47"")"),0)</f>
        <v>0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IFERROR(__xludf.DUMMYFUNCTION("IMPORTRANGE(""https://docs.google.com/spreadsheets/d/1awYsYK3VOup2i3Pq_Yjnu8DRu_mYwSBnCR2QPthd0rU/edit?usp=sharing"",""ศูนย์ยกเว้นโฉนด!H47"")"),0)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4059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IFERROR(__xludf.DUMMYFUNCTION("IMPORTRANGE(""https://docs.google.com/spreadsheets/d/1awYsYK3VOup2i3Pq_Yjnu8DRu_mYwSBnCR2QPthd0rU/edit?usp=sharing"",""โฉนดM3!G47"")"),918)</f>
        <v>918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IFERROR(__xludf.DUMMYFUNCTION("IMPORTRANGE(""https://docs.google.com/spreadsheets/d/1awYsYK3VOup2i3Pq_Yjnu8DRu_mYwSBnCR2QPthd0rU/edit?usp=sharing"",""โฉนดM3!H47"")"),3141)</f>
        <v>3141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557230</v>
      </c>
      <c r="M356" s="577">
        <f ca="1">M357+M358</f>
        <v>459630</v>
      </c>
      <c r="N356" s="577">
        <f ca="1">N357+N358</f>
        <v>159592</v>
      </c>
      <c r="O356" s="577">
        <f ca="1">IF(L356&gt;0,N356*100/L356,0)</f>
        <v>28.640238321698401</v>
      </c>
      <c r="P356" s="577">
        <f ca="1">IF(M356&gt;0,N356*100/M356,0)</f>
        <v>34.72184148119139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557230</v>
      </c>
      <c r="M358" s="425">
        <f ca="1">M361+M364</f>
        <v>459630</v>
      </c>
      <c r="N358" s="425">
        <f ca="1">N361+N364</f>
        <v>159592</v>
      </c>
      <c r="O358" s="425">
        <f ca="1">IF(L358&gt;0,N358*100/L358,0)</f>
        <v>28.640238321698401</v>
      </c>
      <c r="P358" s="425">
        <f ca="1">IF(M358&gt;0,N358*100/M358,0)</f>
        <v>34.72184148119139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557230</v>
      </c>
      <c r="M359" s="425">
        <f ca="1">M360+M361</f>
        <v>459630</v>
      </c>
      <c r="N359" s="425">
        <f ca="1">N360+N361</f>
        <v>159592</v>
      </c>
      <c r="O359" s="425">
        <f ca="1">IF(L359&gt;0,N359*100/L359,0)</f>
        <v>28.640238321698401</v>
      </c>
      <c r="P359" s="425">
        <f ca="1">IF(M359&gt;0,N359*100/M359,0)</f>
        <v>34.72184148119139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IFERROR(__xludf.DUMMYFUNCTION("IMPORTRANGE(""https://docs.google.com/spreadsheets/d/1-uDff_7J0KD5mKrp0Vvzr7lt3OU09vwQwhkpOPPYv2Y/edit?usp=sharing"",""งบพรบ!FC47"")"),557230)</f>
        <v>557230</v>
      </c>
      <c r="M361" s="425">
        <f ca="1">IFERROR(__xludf.DUMMYFUNCTION("IMPORTRANGE(""https://docs.google.com/spreadsheets/d/1-uDff_7J0KD5mKrp0Vvzr7lt3OU09vwQwhkpOPPYv2Y/edit?usp=sharing"",""งบพรบ!FH47"")"),459630)</f>
        <v>459630</v>
      </c>
      <c r="N361" s="425">
        <f ca="1">IFERROR(__xludf.DUMMYFUNCTION("IMPORTRANGE(""https://docs.google.com/spreadsheets/d/1-uDff_7J0KD5mKrp0Vvzr7lt3OU09vwQwhkpOPPYv2Y/edit?usp=sharing"",""งบพรบ!FJ47"")"),159592)</f>
        <v>159592</v>
      </c>
      <c r="O361" s="425">
        <f ca="1">IF(L361&gt;0,N361*100/L361,0)</f>
        <v>28.640238321698401</v>
      </c>
      <c r="P361" s="425">
        <f ca="1">IF(M361&gt;0,N361*100/M361,0)</f>
        <v>34.72184148119139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IFERROR(__xludf.DUMMYFUNCTION("IMPORTRANGE(""https://docs.google.com/spreadsheets/d/1-uDff_7J0KD5mKrp0Vvzr7lt3OU09vwQwhkpOPPYv2Y/edit?usp=sharing"",""งบพรบ!FF47"")"),0)</f>
        <v>0</v>
      </c>
      <c r="M364" s="425">
        <f ca="1">IFERROR(__xludf.DUMMYFUNCTION("IMPORTRANGE(""https://docs.google.com/spreadsheets/d/1-uDff_7J0KD5mKrp0Vvzr7lt3OU09vwQwhkpOPPYv2Y/edit?usp=sharing"",""งบพรบ!FI47"")"),0)</f>
        <v>0</v>
      </c>
      <c r="N364" s="425">
        <f ca="1">IFERROR(__xludf.DUMMYFUNCTION("IMPORTRANGE(""https://docs.google.com/spreadsheets/d/1-uDff_7J0KD5mKrp0Vvzr7lt3OU09vwQwhkpOPPYv2Y/edit?usp=sharing"",""งบพรบ!FK47"")"),0)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229</v>
      </c>
      <c r="J365" s="438">
        <f ca="1">J371</f>
        <v>45</v>
      </c>
      <c r="K365" s="439">
        <f ca="1">IF(I365&gt;0,J365*100/I365,0)</f>
        <v>19.650655021834062</v>
      </c>
      <c r="L365" s="571"/>
      <c r="M365" s="571"/>
      <c r="N365" s="571"/>
      <c r="O365" s="571"/>
      <c r="P365" s="571"/>
    </row>
    <row r="366" spans="1:16" ht="19.5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IFERROR(__xludf.DUMMYFUNCTION("IMPORTRANGE(""https://docs.google.com/spreadsheets/d/1tdoBKaGub7dwA3U6UFTqxio9LNnvDCQjHKmttSEBsFQ/edit?usp=sharing"",""จัดที่ดิน!AB47"")"),38)</f>
        <v>38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IFERROR(__xludf.DUMMYFUNCTION("IMPORTRANGE(""https://docs.google.com/spreadsheets/d/1eHaY18a8A9IcSdp1K8H6x8fbOy06t2VsZHhMHf-1x7Y/edit?usp=sharing"",""แผน!EW47"")"),1805)</f>
        <v>1805</v>
      </c>
      <c r="J368" s="565">
        <f ca="1">IFERROR(__xludf.DUMMYFUNCTION("IMPORTRANGE(""https://docs.google.com/spreadsheets/d/1tdoBKaGub7dwA3U6UFTqxio9LNnvDCQjHKmttSEBsFQ/edit?usp=sharing"",""จัดที่ดิน!AC47"")"),424.61)</f>
        <v>424.61</v>
      </c>
      <c r="K368" s="425">
        <f ca="1">IF(I368&gt;0,J368*100/I368,0)</f>
        <v>23.524099722991689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IFERROR(__xludf.DUMMYFUNCTION("IMPORTRANGE(""https://docs.google.com/spreadsheets/d/1eHaY18a8A9IcSdp1K8H6x8fbOy06t2VsZHhMHf-1x7Y/edit?usp=sharing"",""แผน!EX47"")"),350)</f>
        <v>350</v>
      </c>
      <c r="J369" s="424">
        <f ca="1">IFERROR(__xludf.DUMMYFUNCTION("IMPORTRANGE(""https://docs.google.com/spreadsheets/d/1tdoBKaGub7dwA3U6UFTqxio9LNnvDCQjHKmttSEBsFQ/edit?usp=sharing"",""จัดที่ดิน!AD47"")"),83)</f>
        <v>83</v>
      </c>
      <c r="K369" s="425">
        <f ca="1">IF(I369&gt;0,J369*100/I369,0)</f>
        <v>23.714285714285715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IFERROR(__xludf.DUMMYFUNCTION("IMPORTRANGE(""https://docs.google.com/spreadsheets/d/1tdoBKaGub7dwA3U6UFTqxio9LNnvDCQjHKmttSEBsFQ/edit?usp=sharing"",""จัดที่ดิน!AE47"")"),1298.13)</f>
        <v>1298.1300000000001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IFERROR(__xludf.DUMMYFUNCTION("IMPORTRANGE(""https://docs.google.com/spreadsheets/d/1eHaY18a8A9IcSdp1K8H6x8fbOy06t2VsZHhMHf-1x7Y/edit?usp=sharing"",""แผน!EY47"")"),229)</f>
        <v>229</v>
      </c>
      <c r="J371" s="424">
        <f ca="1">IFERROR(__xludf.DUMMYFUNCTION("IMPORTRANGE(""https://docs.google.com/spreadsheets/d/1tdoBKaGub7dwA3U6UFTqxio9LNnvDCQjHKmttSEBsFQ/edit?usp=sharing"",""จัดที่ดิน!AF47"")"),45)</f>
        <v>45</v>
      </c>
      <c r="K371" s="425">
        <f ca="1">IF(I371&gt;0,J371*100/I371,0)</f>
        <v>19.650655021834062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IFERROR(__xludf.DUMMYFUNCTION("IMPORTRANGE(""https://docs.google.com/spreadsheets/d/1tdoBKaGub7dwA3U6UFTqxio9LNnvDCQjHKmttSEBsFQ/edit?usp=sharing"",""จัดที่ดิน!AG47"")"),843.34)</f>
        <v>843.34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IFERROR(__xludf.DUMMYFUNCTION("IMPORTRANGE(""https://docs.google.com/spreadsheets/d/1-uDff_7J0KD5mKrp0Vvzr7lt3OU09vwQwhkpOPPYv2Y/edit?usp=sharing"",""งบพรบ!FM47"")"),0)</f>
        <v>0</v>
      </c>
      <c r="M382" s="521">
        <f ca="1">IFERROR(__xludf.DUMMYFUNCTION("IMPORTRANGE(""https://docs.google.com/spreadsheets/d/1-uDff_7J0KD5mKrp0Vvzr7lt3OU09vwQwhkpOPPYv2Y/edit?usp=sharing"",""งบพรบ!FR47"")"),0)</f>
        <v>0</v>
      </c>
      <c r="N382" s="521">
        <f ca="1">IFERROR(__xludf.DUMMYFUNCTION("IMPORTRANGE(""https://docs.google.com/spreadsheets/d/1-uDff_7J0KD5mKrp0Vvzr7lt3OU09vwQwhkpOPPYv2Y/edit?usp=sharing"",""งบพรบ!FT47"")"),0)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IFERROR(__xludf.DUMMYFUNCTION("IMPORTRANGE(""https://docs.google.com/spreadsheets/d/1-uDff_7J0KD5mKrp0Vvzr7lt3OU09vwQwhkpOPPYv2Y/edit?usp=sharing"",""งบพรบ!FP47"")"),0)</f>
        <v>0</v>
      </c>
      <c r="M385" s="521">
        <f ca="1">IFERROR(__xludf.DUMMYFUNCTION("IMPORTRANGE(""https://docs.google.com/spreadsheets/d/1-uDff_7J0KD5mKrp0Vvzr7lt3OU09vwQwhkpOPPYv2Y/edit?usp=sharing"",""งบพรบ!FS47"")"),0)</f>
        <v>0</v>
      </c>
      <c r="N385" s="521">
        <f ca="1">IFERROR(__xludf.DUMMYFUNCTION("IMPORTRANGE(""https://docs.google.com/spreadsheets/d/1-uDff_7J0KD5mKrp0Vvzr7lt3OU09vwQwhkpOPPYv2Y/edit?usp=sharing"",""งบพรบ!FU47"")"),0)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98A07-BF26-4A79-9DC5-989857575BE5}">
  <sheetPr>
    <outlinePr summaryBelow="0" summaryRight="0"/>
    <pageSetUpPr fitToPage="1"/>
  </sheetPr>
  <dimension ref="A1:P391"/>
  <sheetViews>
    <sheetView view="pageBreakPreview" zoomScale="60" zoomScaleNormal="70" workbookViewId="0">
      <pane xSplit="8" ySplit="17" topLeftCell="I18" activePane="bottomRight" state="frozen"/>
      <selection activeCell="H27" sqref="H27"/>
      <selection pane="topRight" activeCell="H27" sqref="H27"/>
      <selection pane="bottomLeft" activeCell="H27" sqref="H27"/>
      <selection pane="bottomRight" activeCell="H27" sqref="H27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5.140625" customWidth="1"/>
    <col min="11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869" t="s">
        <v>0</v>
      </c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  <c r="O1" s="869"/>
      <c r="P1" s="869"/>
    </row>
    <row r="2" spans="1:16" ht="19.5" x14ac:dyDescent="0.3">
      <c r="A2" s="869" t="s">
        <v>177</v>
      </c>
      <c r="B2" s="869"/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  <c r="P2" s="869"/>
    </row>
    <row r="3" spans="1:16" ht="19.5" x14ac:dyDescent="0.3">
      <c r="A3" s="869" t="str">
        <f ca="1">IFERROR(__xludf.DUMMYFUNCTION("IMPORTRANGE(""https://docs.google.com/spreadsheets/d/1gNPQPjxUj63ZZXIIIm2aX4x3w7PhAZpC9JuXdbpWwUQ/edit?usp=sharing"",""Sheet1!b1"")"),"ข้อมูล ณ 28 ธ.ค. 66")</f>
        <v>ข้อมูล ณ 28 ธ.ค. 66</v>
      </c>
      <c r="B3" s="869"/>
      <c r="C3" s="869"/>
      <c r="D3" s="869"/>
      <c r="E3" s="869"/>
      <c r="F3" s="869"/>
      <c r="G3" s="869"/>
      <c r="H3" s="869"/>
      <c r="I3" s="869"/>
      <c r="J3" s="869"/>
      <c r="K3" s="869"/>
      <c r="L3" s="869"/>
      <c r="M3" s="869"/>
      <c r="N3" s="869"/>
      <c r="O3" s="869"/>
      <c r="P3" s="869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5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493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2104678</v>
      </c>
      <c r="M18" s="704">
        <f ca="1">M19+M20</f>
        <v>1804823</v>
      </c>
      <c r="N18" s="704">
        <f ca="1">N19+N20</f>
        <v>769100.53</v>
      </c>
      <c r="O18" s="704">
        <f ca="1">IF(L18&gt;0,N18*100/L18,0)</f>
        <v>36.542432144014427</v>
      </c>
      <c r="P18" s="704">
        <f ca="1">IF(M18&gt;0,N18*100/M18,0)</f>
        <v>42.613626377766685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2104678</v>
      </c>
      <c r="M20" s="817">
        <f ca="1">M23+M26</f>
        <v>1804823</v>
      </c>
      <c r="N20" s="817">
        <f ca="1">N23+N26</f>
        <v>769100.53</v>
      </c>
      <c r="O20" s="817">
        <f ca="1">IF(L20&gt;0,N20*100/L20,0)</f>
        <v>36.542432144014427</v>
      </c>
      <c r="P20" s="817">
        <f ca="1">IF(M20&gt;0,N20*100/M20,0)</f>
        <v>42.613626377766685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2104678</v>
      </c>
      <c r="M21" s="425">
        <f ca="1">M22+M23</f>
        <v>1804823</v>
      </c>
      <c r="N21" s="425">
        <f ca="1">N22+N23</f>
        <v>769100.53</v>
      </c>
      <c r="O21" s="425">
        <f ca="1">IF(L21&gt;0,N21*100/L21,0)</f>
        <v>36.542432144014427</v>
      </c>
      <c r="P21" s="425">
        <f ca="1">IF(M21&gt;0,N21*100/M21,0)</f>
        <v>42.613626377766685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2104678</v>
      </c>
      <c r="M23" s="425">
        <f ca="1">M49+M64+M77+M99+M130+M144+M162+M191+M178+M271+M287+M308+M325+M338+M361+M382</f>
        <v>1804823</v>
      </c>
      <c r="N23" s="425">
        <f ca="1">N49+N64+N77+N99+N130+N144+N162+N191+N178+N271+N287+N308+N325+N338+N361+N382</f>
        <v>769100.53</v>
      </c>
      <c r="O23" s="425">
        <f ca="1">IF(L23&gt;0,N23*100/L23,0)</f>
        <v>36.542432144014427</v>
      </c>
      <c r="P23" s="425">
        <f ca="1">IF(M23&gt;0,N23*100/M23,0)</f>
        <v>42.613626377766685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2.75" hidden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2104678</v>
      </c>
      <c r="M40" s="809">
        <f ca="1">M44+M59+M72+M94+M125+M139+M157+M173+M186+M266+M282+M303+M320+M333+M356</f>
        <v>1804823</v>
      </c>
      <c r="N40" s="809">
        <f ca="1">N44+N59+N72+N94+N125+N139+N157+N173+N186+N266+N282+N303+N320+N333+N356</f>
        <v>769100.53</v>
      </c>
      <c r="O40" s="809">
        <f ca="1">IF(L40&gt;0,N40*100/L40,0)</f>
        <v>36.542432144014427</v>
      </c>
      <c r="P40" s="809">
        <f ca="1">IF(M40&gt;0,N40*100/M40,0)</f>
        <v>42.613626377766685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484278</v>
      </c>
      <c r="M44" s="794">
        <f ca="1">M45+M46</f>
        <v>491103</v>
      </c>
      <c r="N44" s="794">
        <f ca="1">N45+N46</f>
        <v>186453</v>
      </c>
      <c r="O44" s="794">
        <f ca="1">IF(L44&gt;0,N44*100/L44,0)</f>
        <v>38.501232762999763</v>
      </c>
      <c r="P44" s="794">
        <f ca="1">IF(M44&gt;0,N44*100/M44,0)</f>
        <v>37.966170029505015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484278</v>
      </c>
      <c r="M46" s="783">
        <f ca="1">M49+M52</f>
        <v>491103</v>
      </c>
      <c r="N46" s="783">
        <f ca="1">N49+N52</f>
        <v>186453</v>
      </c>
      <c r="O46" s="783">
        <f ca="1">IF(L46&gt;0,N46*100/L46,0)</f>
        <v>38.501232762999763</v>
      </c>
      <c r="P46" s="783">
        <f ca="1">IF(M46&gt;0,N46*100/M46,0)</f>
        <v>37.966170029505015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484278</v>
      </c>
      <c r="M47" s="425">
        <f ca="1">M48+M49</f>
        <v>491103</v>
      </c>
      <c r="N47" s="425">
        <f ca="1">N48+N49</f>
        <v>186453</v>
      </c>
      <c r="O47" s="425">
        <f ca="1">IF(L47&gt;0,N47*100/L47,0)</f>
        <v>38.501232762999763</v>
      </c>
      <c r="P47" s="425">
        <f ca="1">IF(M47&gt;0,N47*100/M47,0)</f>
        <v>37.966170029505015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IFERROR(__xludf.DUMMYFUNCTION("IMPORTRANGE(""https://docs.google.com/spreadsheets/d/1-uDff_7J0KD5mKrp0Vvzr7lt3OU09vwQwhkpOPPYv2Y/edit?usp=sharing"",""งบพรบ!P48"")"),484278)</f>
        <v>484278</v>
      </c>
      <c r="M49" s="425">
        <f ca="1">IFERROR(__xludf.DUMMYFUNCTION("IMPORTRANGE(""https://docs.google.com/spreadsheets/d/1-uDff_7J0KD5mKrp0Vvzr7lt3OU09vwQwhkpOPPYv2Y/edit?usp=sharing"",""งบพรบ!V48"")"),491103)</f>
        <v>491103</v>
      </c>
      <c r="N49" s="425">
        <f ca="1">IFERROR(__xludf.DUMMYFUNCTION("IMPORTRANGE(""https://docs.google.com/spreadsheets/d/1-uDff_7J0KD5mKrp0Vvzr7lt3OU09vwQwhkpOPPYv2Y/edit?usp=sharing"",""งบพรบ!Y48"")"),186453)</f>
        <v>186453</v>
      </c>
      <c r="O49" s="425">
        <f ca="1">IF(L49&gt;0,N49*100/L49,0)</f>
        <v>38.501232762999763</v>
      </c>
      <c r="P49" s="425">
        <f ca="1">IF(M49&gt;0,N49*100/M49,0)</f>
        <v>37.966170029505015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IFERROR(__xludf.DUMMYFUNCTION("IMPORTRANGE(""https://docs.google.com/spreadsheets/d/1-uDff_7J0KD5mKrp0Vvzr7lt3OU09vwQwhkpOPPYv2Y/edit?usp=sharing"",""งบพรบ!S48"")"),0)</f>
        <v>0</v>
      </c>
      <c r="M52" s="425">
        <f ca="1">IFERROR(__xludf.DUMMYFUNCTION("IMPORTRANGE(""https://docs.google.com/spreadsheets/d/1-uDff_7J0KD5mKrp0Vvzr7lt3OU09vwQwhkpOPPYv2Y/edit?usp=sharing"",""งบพรบ!W48"")"),0)</f>
        <v>0</v>
      </c>
      <c r="N52" s="425">
        <f ca="1">IFERROR(__xludf.DUMMYFUNCTION("IMPORTRANGE(""https://docs.google.com/spreadsheets/d/1-uDff_7J0KD5mKrp0Vvzr7lt3OU09vwQwhkpOPPYv2Y/edit?usp=sharing"",""งบพรบ!Z48"")"),0)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443300</v>
      </c>
      <c r="M59" s="763">
        <f ca="1">M60+M61</f>
        <v>334650</v>
      </c>
      <c r="N59" s="763">
        <f ca="1">N60+N61</f>
        <v>129334.46</v>
      </c>
      <c r="O59" s="763">
        <f ca="1">IF(L59&gt;0,N59*100/L59,0)</f>
        <v>29.1753801037672</v>
      </c>
      <c r="P59" s="763">
        <f ca="1">IF(M59&gt;0,N59*100/M59,0)</f>
        <v>38.647679665321981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443300</v>
      </c>
      <c r="M61" s="752">
        <f ca="1">M64+M67</f>
        <v>334650</v>
      </c>
      <c r="N61" s="752">
        <f ca="1">N64+N67</f>
        <v>129334.46</v>
      </c>
      <c r="O61" s="752">
        <f ca="1">IF(L61&gt;0,N61*100/L61,0)</f>
        <v>29.1753801037672</v>
      </c>
      <c r="P61" s="752">
        <f ca="1">IF(M61&gt;0,N61*100/M61,0)</f>
        <v>38.647679665321981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443300</v>
      </c>
      <c r="M62" s="425">
        <f ca="1">M63+M64</f>
        <v>334650</v>
      </c>
      <c r="N62" s="425">
        <f ca="1">N63+N64</f>
        <v>129334.46</v>
      </c>
      <c r="O62" s="425">
        <f ca="1">IF(L62&gt;0,N62*100/L62,0)</f>
        <v>29.1753801037672</v>
      </c>
      <c r="P62" s="425">
        <f ca="1">IF(M62&gt;0,N62*100/M62,0)</f>
        <v>38.647679665321981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IFERROR(__xludf.DUMMYFUNCTION("IMPORTRANGE(""https://docs.google.com/spreadsheets/d/1-uDff_7J0KD5mKrp0Vvzr7lt3OU09vwQwhkpOPPYv2Y/edit?usp=sharing"",""งบพรบ!AC48"")"),443300)</f>
        <v>443300</v>
      </c>
      <c r="M64" s="425">
        <f ca="1">IFERROR(__xludf.DUMMYFUNCTION("IMPORTRANGE(""https://docs.google.com/spreadsheets/d/1-uDff_7J0KD5mKrp0Vvzr7lt3OU09vwQwhkpOPPYv2Y/edit?usp=sharing"",""งบพรบ!AH48"")"),334650)</f>
        <v>334650</v>
      </c>
      <c r="N64" s="425">
        <f ca="1">IFERROR(__xludf.DUMMYFUNCTION("IMPORTRANGE(""https://docs.google.com/spreadsheets/d/1-uDff_7J0KD5mKrp0Vvzr7lt3OU09vwQwhkpOPPYv2Y/edit?usp=sharing"",""งบพรบ!AJ48"")"),129334.46)</f>
        <v>129334.46</v>
      </c>
      <c r="O64" s="425">
        <f ca="1">IF(L64&gt;0,N64*100/L64,0)</f>
        <v>29.1753801037672</v>
      </c>
      <c r="P64" s="425">
        <f ca="1">IF(M64&gt;0,N64*100/M64,0)</f>
        <v>38.647679665321981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IFERROR(__xludf.DUMMYFUNCTION("IMPORTRANGE(""https://docs.google.com/spreadsheets/d/1-uDff_7J0KD5mKrp0Vvzr7lt3OU09vwQwhkpOPPYv2Y/edit?usp=sharing"",""งบพรบ!AF48"")"),0)</f>
        <v>0</v>
      </c>
      <c r="M67" s="747">
        <f ca="1">IFERROR(__xludf.DUMMYFUNCTION("IMPORTRANGE(""https://docs.google.com/spreadsheets/d/1-uDff_7J0KD5mKrp0Vvzr7lt3OU09vwQwhkpOPPYv2Y/edit?usp=sharing"",""งบพรบ!AI48"")"),0)</f>
        <v>0</v>
      </c>
      <c r="N67" s="747">
        <f ca="1">IFERROR(__xludf.DUMMYFUNCTION("IMPORTRANGE(""https://docs.google.com/spreadsheets/d/1-uDff_7J0KD5mKrp0Vvzr7lt3OU09vwQwhkpOPPYv2Y/edit?usp=sharing"",""งบพรบ!AK48"")"),0)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19.5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1</v>
      </c>
      <c r="J70" s="705">
        <f>J82</f>
        <v>0</v>
      </c>
      <c r="K70" s="704">
        <f ca="1">IF(I70&gt;0,J70*100/I70,0)</f>
        <v>0</v>
      </c>
      <c r="L70" s="703"/>
      <c r="M70" s="703"/>
      <c r="N70" s="703"/>
      <c r="O70" s="703"/>
      <c r="P70" s="703"/>
    </row>
    <row r="71" spans="1:16" ht="19.5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30</v>
      </c>
      <c r="J71" s="705">
        <f>J83</f>
        <v>0</v>
      </c>
      <c r="K71" s="704">
        <f ca="1">IF(I71&gt;0,J71*100/I71,0)</f>
        <v>0</v>
      </c>
      <c r="L71" s="703"/>
      <c r="M71" s="703"/>
      <c r="N71" s="703"/>
      <c r="O71" s="703"/>
      <c r="P71" s="703"/>
    </row>
    <row r="72" spans="1:16" ht="19.5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324000</v>
      </c>
      <c r="M72" s="577">
        <f ca="1">M73+M74</f>
        <v>299500</v>
      </c>
      <c r="N72" s="577">
        <f ca="1">N73+N74</f>
        <v>139823.07999999999</v>
      </c>
      <c r="O72" s="577">
        <f ca="1">IF(L72&gt;0,N72*100/L72,0)</f>
        <v>43.155271604938264</v>
      </c>
      <c r="P72" s="577">
        <f ca="1">IF(M72&gt;0,N72*100/M72,0)</f>
        <v>46.68550250417362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324000</v>
      </c>
      <c r="M74" s="425">
        <f ca="1">M77+M80</f>
        <v>299500</v>
      </c>
      <c r="N74" s="425">
        <f ca="1">N77+N80</f>
        <v>139823.07999999999</v>
      </c>
      <c r="O74" s="425">
        <f ca="1">IF(L74&gt;0,N74*100/L74,0)</f>
        <v>43.155271604938264</v>
      </c>
      <c r="P74" s="425">
        <f ca="1">IF(M74&gt;0,N74*100/M74,0)</f>
        <v>46.68550250417362</v>
      </c>
    </row>
    <row r="75" spans="1:16" ht="18.75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324000</v>
      </c>
      <c r="M75" s="425">
        <f ca="1">M76+M77</f>
        <v>299500</v>
      </c>
      <c r="N75" s="425">
        <f ca="1">N76+N77</f>
        <v>139823.07999999999</v>
      </c>
      <c r="O75" s="425">
        <f ca="1">IF(L75&gt;0,N75*100/L75,0)</f>
        <v>43.155271604938264</v>
      </c>
      <c r="P75" s="425">
        <f ca="1">IF(M75&gt;0,N75*100/M75,0)</f>
        <v>46.68550250417362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IFERROR(__xludf.DUMMYFUNCTION("IMPORTRANGE(""https://docs.google.com/spreadsheets/d/1-uDff_7J0KD5mKrp0Vvzr7lt3OU09vwQwhkpOPPYv2Y/edit?usp=sharing"",""งบพรบ!AM48"")"),324000)</f>
        <v>324000</v>
      </c>
      <c r="M77" s="425">
        <f ca="1">IFERROR(__xludf.DUMMYFUNCTION("IMPORTRANGE(""https://docs.google.com/spreadsheets/d/1-uDff_7J0KD5mKrp0Vvzr7lt3OU09vwQwhkpOPPYv2Y/edit?usp=sharing"",""งบพรบ!AR48"")"),299500)</f>
        <v>299500</v>
      </c>
      <c r="N77" s="425">
        <f ca="1">IFERROR(__xludf.DUMMYFUNCTION("IMPORTRANGE(""https://docs.google.com/spreadsheets/d/1-uDff_7J0KD5mKrp0Vvzr7lt3OU09vwQwhkpOPPYv2Y/edit?usp=sharing"",""งบพรบ!AT48"")"),139823.08)</f>
        <v>139823.07999999999</v>
      </c>
      <c r="O77" s="425">
        <f ca="1">IF(L77&gt;0,N77*100/L77,0)</f>
        <v>43.155271604938264</v>
      </c>
      <c r="P77" s="425">
        <f ca="1">IF(M77&gt;0,N77*100/M77,0)</f>
        <v>46.68550250417362</v>
      </c>
    </row>
    <row r="78" spans="1:16" ht="18.75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IFERROR(__xludf.DUMMYFUNCTION("IMPORTRANGE(""https://docs.google.com/spreadsheets/d/1-uDff_7J0KD5mKrp0Vvzr7lt3OU09vwQwhkpOPPYv2Y/edit?usp=sharing"",""งบพรบ!AP48"")"),0)</f>
        <v>0</v>
      </c>
      <c r="M80" s="425">
        <f ca="1">IFERROR(__xludf.DUMMYFUNCTION("IMPORTRANGE(""https://docs.google.com/spreadsheets/d/1-uDff_7J0KD5mKrp0Vvzr7lt3OU09vwQwhkpOPPYv2Y/edit?usp=sharing"",""งบพรบ!AS48"")"),0)</f>
        <v>0</v>
      </c>
      <c r="N80" s="425">
        <f ca="1">IFERROR(__xludf.DUMMYFUNCTION("IMPORTRANGE(""https://docs.google.com/spreadsheets/d/1-uDff_7J0KD5mKrp0Vvzr7lt3OU09vwQwhkpOPPYv2Y/edit?usp=sharing"",""งบพรบ!AU48"")"),0)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1</v>
      </c>
      <c r="J82" s="625">
        <f>J84+J86+J88</f>
        <v>0</v>
      </c>
      <c r="K82" s="624">
        <f ca="1">IF(I82&gt;0,J82*100/I82,0)</f>
        <v>0</v>
      </c>
      <c r="L82" s="525"/>
      <c r="M82" s="525"/>
      <c r="N82" s="525"/>
      <c r="O82" s="525"/>
      <c r="P82" s="525"/>
    </row>
    <row r="83" spans="1:16" ht="19.5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30</v>
      </c>
      <c r="J83" s="625">
        <f>J85+J87+J89</f>
        <v>0</v>
      </c>
      <c r="K83" s="624">
        <f ca="1">IF(I83&gt;0,J83*100/I83,0)</f>
        <v>0</v>
      </c>
      <c r="L83" s="525"/>
      <c r="M83" s="525"/>
      <c r="N83" s="525"/>
      <c r="O83" s="525"/>
      <c r="P83" s="525"/>
    </row>
    <row r="84" spans="1:16" ht="18.75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IFERROR(__xludf.DUMMYFUNCTION("IMPORTRANGE(""https://docs.google.com/spreadsheets/d/1eHaY18a8A9IcSdp1K8H6x8fbOy06t2VsZHhMHf-1x7Y/edit?usp=sharing"",""แผน!H48"")"),0)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IFERROR(__xludf.DUMMYFUNCTION("IMPORTRANGE(""https://docs.google.com/spreadsheets/d/1eHaY18a8A9IcSdp1K8H6x8fbOy06t2VsZHhMHf-1x7Y/edit?usp=sharing"",""แผน!I48"")"),0)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IFERROR(__xludf.DUMMYFUNCTION("IMPORTRANGE(""https://docs.google.com/spreadsheets/d/1eHaY18a8A9IcSdp1K8H6x8fbOy06t2VsZHhMHf-1x7Y/edit?usp=sharing"",""แผน!F48"")"),0)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IFERROR(__xludf.DUMMYFUNCTION("IMPORTRANGE(""https://docs.google.com/spreadsheets/d/1eHaY18a8A9IcSdp1K8H6x8fbOy06t2VsZHhMHf-1x7Y/edit?usp=sharing"",""แผน!G48"")"),0)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IFERROR(__xludf.DUMMYFUNCTION("IMPORTRANGE(""https://docs.google.com/spreadsheets/d/1eHaY18a8A9IcSdp1K8H6x8fbOy06t2VsZHhMHf-1x7Y/edit?usp=sharing"",""แผน!D48"")"),1)</f>
        <v>1</v>
      </c>
      <c r="J88" s="595">
        <v>0</v>
      </c>
      <c r="K88" s="621">
        <f ca="1">IF(I88&gt;0,J88*100/I88,0)</f>
        <v>0</v>
      </c>
      <c r="L88" s="525"/>
      <c r="M88" s="525"/>
      <c r="N88" s="525"/>
      <c r="O88" s="525"/>
      <c r="P88" s="525"/>
    </row>
    <row r="89" spans="1:16" ht="18.75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IFERROR(__xludf.DUMMYFUNCTION("IMPORTRANGE(""https://docs.google.com/spreadsheets/d/1eHaY18a8A9IcSdp1K8H6x8fbOy06t2VsZHhMHf-1x7Y/edit?usp=sharing"",""แผน!E48"")"),30)</f>
        <v>30</v>
      </c>
      <c r="J89" s="595">
        <v>0</v>
      </c>
      <c r="K89" s="621">
        <f ca="1">IF(I89&gt;0,J89*100/I89,0)</f>
        <v>0</v>
      </c>
      <c r="L89" s="525"/>
      <c r="M89" s="525"/>
      <c r="N89" s="525"/>
      <c r="O89" s="525"/>
      <c r="P89" s="525"/>
    </row>
    <row r="90" spans="1:16" ht="18.75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IFERROR(__xludf.DUMMYFUNCTION("IMPORTRANGE(""https://docs.google.com/spreadsheets/d/1eHaY18a8A9IcSdp1K8H6x8fbOy06t2VsZHhMHf-1x7Y/edit?usp=sharing"",""แผน!J48"")"),1)</f>
        <v>1</v>
      </c>
      <c r="J90" s="595">
        <v>0</v>
      </c>
      <c r="K90" s="621">
        <f ca="1">IF(I90&gt;0,J90*100/I90,0)</f>
        <v>0</v>
      </c>
      <c r="L90" s="525"/>
      <c r="M90" s="525"/>
      <c r="N90" s="525"/>
      <c r="O90" s="525"/>
      <c r="P90" s="525"/>
    </row>
    <row r="91" spans="1:16" ht="19.5" hidden="1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hidden="1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0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hidden="1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0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hidden="1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0</v>
      </c>
      <c r="M94" s="577">
        <f ca="1">M95+M96</f>
        <v>0</v>
      </c>
      <c r="N94" s="577">
        <f ca="1">N95+N96</f>
        <v>0</v>
      </c>
      <c r="O94" s="577">
        <f ca="1">IF(L94&gt;0,N94*100/L94,0)</f>
        <v>0</v>
      </c>
      <c r="P94" s="577">
        <f ca="1">IF(M94&gt;0,N94*100/M94,0)</f>
        <v>0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hidden="1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hidden="1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IFERROR(__xludf.DUMMYFUNCTION("IMPORTRANGE(""https://docs.google.com/spreadsheets/d/1-uDff_7J0KD5mKrp0Vvzr7lt3OU09vwQwhkpOPPYv2Y/edit?usp=sharing"",""งบพรบ!AW48"")"),0)</f>
        <v>0</v>
      </c>
      <c r="M99" s="425">
        <f ca="1">IFERROR(__xludf.DUMMYFUNCTION("IMPORTRANGE(""https://docs.google.com/spreadsheets/d/1-uDff_7J0KD5mKrp0Vvzr7lt3OU09vwQwhkpOPPYv2Y/edit?usp=sharing"",""งบพรบ!BB48"")"),0)</f>
        <v>0</v>
      </c>
      <c r="N99" s="425">
        <f ca="1">IFERROR(__xludf.DUMMYFUNCTION("IMPORTRANGE(""https://docs.google.com/spreadsheets/d/1-uDff_7J0KD5mKrp0Vvzr7lt3OU09vwQwhkpOPPYv2Y/edit?usp=sharing"",""งบพรบ!BD48"")"),0)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hidden="1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IFERROR(__xludf.DUMMYFUNCTION("IMPORTRANGE(""https://docs.google.com/spreadsheets/d/1-uDff_7J0KD5mKrp0Vvzr7lt3OU09vwQwhkpOPPYv2Y/edit?usp=sharing"",""งบพรบ!AZ48"")"),0)</f>
        <v>0</v>
      </c>
      <c r="M102" s="425">
        <f ca="1">IFERROR(__xludf.DUMMYFUNCTION("IMPORTRANGE(""https://docs.google.com/spreadsheets/d/1-uDff_7J0KD5mKrp0Vvzr7lt3OU09vwQwhkpOPPYv2Y/edit?usp=sharing"",""งบพรบ!BC48"")"),0)</f>
        <v>0</v>
      </c>
      <c r="N102" s="425">
        <f ca="1">IFERROR(__xludf.DUMMYFUNCTION("IMPORTRANGE(""https://docs.google.com/spreadsheets/d/1-uDff_7J0KD5mKrp0Vvzr7lt3OU09vwQwhkpOPPYv2Y/edit?usp=sharing"",""งบพรบ!BE48"")"),0)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hidden="1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hidden="1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IFERROR(__xludf.DUMMYFUNCTION("IMPORTRANGE(""https://docs.google.com/spreadsheets/d/1eHaY18a8A9IcSdp1K8H6x8fbOy06t2VsZHhMHf-1x7Y/edit?usp=sharing"",""แผน!N48"")"),0)</f>
        <v>0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hidden="1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IFERROR(__xludf.DUMMYFUNCTION("IMPORTRANGE(""https://docs.google.com/spreadsheets/d/1eHaY18a8A9IcSdp1K8H6x8fbOy06t2VsZHhMHf-1x7Y/edit?usp=sharing"",""แผน!O48"")"),0)</f>
        <v>0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hidden="1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IFERROR(__xludf.DUMMYFUNCTION("IMPORTRANGE(""https://docs.google.com/spreadsheets/d/1eHaY18a8A9IcSdp1K8H6x8fbOy06t2VsZHhMHf-1x7Y/edit?usp=sharing"",""แผน!R48"")"),0)</f>
        <v>0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IFERROR(__xludf.DUMMYFUNCTION("IMPORTRANGE(""https://docs.google.com/spreadsheets/d/1-uDff_7J0KD5mKrp0Vvzr7lt3OU09vwQwhkpOPPYv2Y/edit?usp=sharing"",""งบพรบ!BG48"")"),0)</f>
        <v>0</v>
      </c>
      <c r="M130" s="723">
        <f ca="1">IFERROR(__xludf.DUMMYFUNCTION("IMPORTRANGE(""https://docs.google.com/spreadsheets/d/1-uDff_7J0KD5mKrp0Vvzr7lt3OU09vwQwhkpOPPYv2Y/edit?usp=sharing"",""งบพรบ!BL48"")"),0)</f>
        <v>0</v>
      </c>
      <c r="N130" s="723">
        <f ca="1">IFERROR(__xludf.DUMMYFUNCTION("IMPORTRANGE(""https://docs.google.com/spreadsheets/d/1-uDff_7J0KD5mKrp0Vvzr7lt3OU09vwQwhkpOPPYv2Y/edit?usp=sharing"",""งบพรบ!BN48"")"),0)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IFERROR(__xludf.DUMMYFUNCTION("IMPORTRANGE(""https://docs.google.com/spreadsheets/d/1-uDff_7J0KD5mKrp0Vvzr7lt3OU09vwQwhkpOPPYv2Y/edit?usp=sharing"",""งบพรบ!BJ48"")"),0)</f>
        <v>0</v>
      </c>
      <c r="M133" s="723">
        <f ca="1">IFERROR(__xludf.DUMMYFUNCTION("IMPORTRANGE(""https://docs.google.com/spreadsheets/d/1-uDff_7J0KD5mKrp0Vvzr7lt3OU09vwQwhkpOPPYv2Y/edit?usp=sharing"",""งบพรบ!BM48"")"),0)</f>
        <v>0</v>
      </c>
      <c r="N133" s="723">
        <f ca="1">IFERROR(__xludf.DUMMYFUNCTION("IMPORTRANGE(""https://docs.google.com/spreadsheets/d/1-uDff_7J0KD5mKrp0Vvzr7lt3OU09vwQwhkpOPPYv2Y/edit?usp=sharing"",""งบพรบ!BO48"")"),0)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hidden="1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hidden="1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hidden="1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0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hidden="1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0</v>
      </c>
      <c r="J137" s="705">
        <f>J152</f>
        <v>0</v>
      </c>
      <c r="K137" s="704">
        <f ca="1">IF(I137&gt;0,J137*100/I137,0)</f>
        <v>0</v>
      </c>
      <c r="L137" s="703"/>
      <c r="M137" s="703"/>
      <c r="N137" s="703"/>
      <c r="O137" s="703"/>
      <c r="P137" s="703"/>
    </row>
    <row r="138" spans="1:16" ht="19.5" hidden="1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0</v>
      </c>
      <c r="J138" s="705">
        <f>J153</f>
        <v>0</v>
      </c>
      <c r="K138" s="704">
        <f ca="1">IF(I138&gt;0,J138*100/I138,0)</f>
        <v>0</v>
      </c>
      <c r="L138" s="703"/>
      <c r="M138" s="703"/>
      <c r="N138" s="703"/>
      <c r="O138" s="703"/>
      <c r="P138" s="703"/>
    </row>
    <row r="139" spans="1:16" ht="19.5" hidden="1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0</v>
      </c>
      <c r="M139" s="577">
        <f ca="1">M140+M141</f>
        <v>0</v>
      </c>
      <c r="N139" s="577">
        <f ca="1">N140+N141</f>
        <v>0</v>
      </c>
      <c r="O139" s="577">
        <f ca="1">IF(L139&gt;0,N139*100/L139,0)</f>
        <v>0</v>
      </c>
      <c r="P139" s="577">
        <f ca="1">IF(M139&gt;0,N139*100/M139,0)</f>
        <v>0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hidden="1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0</v>
      </c>
      <c r="M141" s="425">
        <f ca="1">M144+M147</f>
        <v>0</v>
      </c>
      <c r="N141" s="425">
        <f ca="1">N144+N147</f>
        <v>0</v>
      </c>
      <c r="O141" s="425">
        <f ca="1">IF(L141&gt;0,N141*100/L141,0)</f>
        <v>0</v>
      </c>
      <c r="P141" s="425">
        <f ca="1">IF(M141&gt;0,N141*100/M141,0)</f>
        <v>0</v>
      </c>
    </row>
    <row r="142" spans="1:16" ht="18.75" hidden="1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0</v>
      </c>
      <c r="M142" s="425">
        <f ca="1">M143+M144</f>
        <v>0</v>
      </c>
      <c r="N142" s="425">
        <f ca="1">N143+N144</f>
        <v>0</v>
      </c>
      <c r="O142" s="425">
        <f ca="1">IF(L142&gt;0,N142*100/L142,0)</f>
        <v>0</v>
      </c>
      <c r="P142" s="425">
        <f ca="1">IF(M142&gt;0,N142*100/M142,0)</f>
        <v>0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hidden="1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IFERROR(__xludf.DUMMYFUNCTION("IMPORTRANGE(""https://docs.google.com/spreadsheets/d/1-uDff_7J0KD5mKrp0Vvzr7lt3OU09vwQwhkpOPPYv2Y/edit?usp=sharing"",""งบพรบ!BQ48"")"),0)</f>
        <v>0</v>
      </c>
      <c r="M144" s="425">
        <f ca="1">IFERROR(__xludf.DUMMYFUNCTION("IMPORTRANGE(""https://docs.google.com/spreadsheets/d/1-uDff_7J0KD5mKrp0Vvzr7lt3OU09vwQwhkpOPPYv2Y/edit?usp=sharing"",""งบพรบ!BV48"")"),0)</f>
        <v>0</v>
      </c>
      <c r="N144" s="425">
        <f ca="1">IFERROR(__xludf.DUMMYFUNCTION("IMPORTRANGE(""https://docs.google.com/spreadsheets/d/1-uDff_7J0KD5mKrp0Vvzr7lt3OU09vwQwhkpOPPYv2Y/edit?usp=sharing"",""งบพรบ!BX48"")"),0)</f>
        <v>0</v>
      </c>
      <c r="O144" s="425">
        <f ca="1">IF(L144&gt;0,N144*100/L144,0)</f>
        <v>0</v>
      </c>
      <c r="P144" s="425">
        <f ca="1">IF(M144&gt;0,N144*100/M144,0)</f>
        <v>0</v>
      </c>
    </row>
    <row r="145" spans="1:16" ht="18.75" hidden="1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hidden="1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IFERROR(__xludf.DUMMYFUNCTION("IMPORTRANGE(""https://docs.google.com/spreadsheets/d/1-uDff_7J0KD5mKrp0Vvzr7lt3OU09vwQwhkpOPPYv2Y/edit?usp=sharing"",""งบพรบ!BT48"")"),0)</f>
        <v>0</v>
      </c>
      <c r="M147" s="425">
        <f ca="1">IFERROR(__xludf.DUMMYFUNCTION("IMPORTRANGE(""https://docs.google.com/spreadsheets/d/1-uDff_7J0KD5mKrp0Vvzr7lt3OU09vwQwhkpOPPYv2Y/edit?usp=sharing"",""งบพรบ!BW48"")"),0)</f>
        <v>0</v>
      </c>
      <c r="N147" s="425">
        <f ca="1">IFERROR(__xludf.DUMMYFUNCTION("IMPORTRANGE(""https://docs.google.com/spreadsheets/d/1-uDff_7J0KD5mKrp0Vvzr7lt3OU09vwQwhkpOPPYv2Y/edit?usp=sharing"",""งบพรบ!BY48"")"),0)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hidden="1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hidden="1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hidden="1" x14ac:dyDescent="0.3">
      <c r="A150" s="535"/>
      <c r="B150" s="418"/>
      <c r="C150" s="418"/>
      <c r="D150" s="420"/>
      <c r="E150" s="570" t="s">
        <v>159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IFERROR(__xludf.DUMMYFUNCTION("IMPORTRANGE(""https://docs.google.com/spreadsheets/d/1eHaY18a8A9IcSdp1K8H6x8fbOy06t2VsZHhMHf-1x7Y/edit?usp=sharing"",""แผน!U48"")"),0)</f>
        <v>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hidden="1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IFERROR(__xludf.DUMMYFUNCTION("IMPORTRANGE(""https://docs.google.com/spreadsheets/d/1eHaY18a8A9IcSdp1K8H6x8fbOy06t2VsZHhMHf-1x7Y/edit?usp=sharing"",""แผน!V48"")"),0)</f>
        <v>0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hidden="1" x14ac:dyDescent="0.3">
      <c r="A152" s="535"/>
      <c r="B152" s="418"/>
      <c r="C152" s="418"/>
      <c r="D152" s="420"/>
      <c r="E152" s="570" t="s">
        <v>158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IFERROR(__xludf.DUMMYFUNCTION("IMPORTRANGE(""https://docs.google.com/spreadsheets/d/1eHaY18a8A9IcSdp1K8H6x8fbOy06t2VsZHhMHf-1x7Y/edit?usp=sharing"",""แผน!W48"")"),0)</f>
        <v>0</v>
      </c>
      <c r="J152" s="595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hidden="1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IFERROR(__xludf.DUMMYFUNCTION("IMPORTRANGE(""https://docs.google.com/spreadsheets/d/1eHaY18a8A9IcSdp1K8H6x8fbOy06t2VsZHhMHf-1x7Y/edit?usp=sharing"",""แผน!X48"")"),0)</f>
        <v>0</v>
      </c>
      <c r="J153" s="595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hidden="1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IFERROR(__xludf.DUMMYFUNCTION("IMPORTRANGE(""https://docs.google.com/spreadsheets/d/1eHaY18a8A9IcSdp1K8H6x8fbOy06t2VsZHhMHf-1x7Y/edit?usp=sharing"",""แผน!Y48"")"),0)</f>
        <v>0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hidden="1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hidden="1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I169</f>
        <v>0</v>
      </c>
      <c r="J156" s="705">
        <f>J169</f>
        <v>0</v>
      </c>
      <c r="K156" s="704">
        <f ca="1">IF(I156&gt;0,J156*100/I156,0)</f>
        <v>0</v>
      </c>
      <c r="L156" s="703"/>
      <c r="M156" s="703"/>
      <c r="N156" s="703"/>
      <c r="O156" s="703"/>
      <c r="P156" s="703"/>
    </row>
    <row r="157" spans="1:16" ht="19.5" hidden="1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hidden="1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hidden="1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hidden="1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IFERROR(__xludf.DUMMYFUNCTION("IMPORTRANGE(""https://docs.google.com/spreadsheets/d/1-uDff_7J0KD5mKrp0Vvzr7lt3OU09vwQwhkpOPPYv2Y/edit?usp=sharing"",""งบพรบ!CA48"")"),0)</f>
        <v>0</v>
      </c>
      <c r="M162" s="425">
        <f ca="1">IFERROR(__xludf.DUMMYFUNCTION("IMPORTRANGE(""https://docs.google.com/spreadsheets/d/1-uDff_7J0KD5mKrp0Vvzr7lt3OU09vwQwhkpOPPYv2Y/edit?usp=sharing"",""งบพรบ!CF48"")"),0)</f>
        <v>0</v>
      </c>
      <c r="N162" s="425">
        <f ca="1">IFERROR(__xludf.DUMMYFUNCTION("IMPORTRANGE(""https://docs.google.com/spreadsheets/d/1-uDff_7J0KD5mKrp0Vvzr7lt3OU09vwQwhkpOPPYv2Y/edit?usp=sharing"",""งบพรบ!CH48"")"),0)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hidden="1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hidden="1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IFERROR(__xludf.DUMMYFUNCTION("IMPORTRANGE(""https://docs.google.com/spreadsheets/d/1-uDff_7J0KD5mKrp0Vvzr7lt3OU09vwQwhkpOPPYv2Y/edit?usp=sharing"",""งบพรบ!CD48"")"),0)</f>
        <v>0</v>
      </c>
      <c r="M165" s="425">
        <f ca="1">IFERROR(__xludf.DUMMYFUNCTION("IMPORTRANGE(""https://docs.google.com/spreadsheets/d/1-uDff_7J0KD5mKrp0Vvzr7lt3OU09vwQwhkpOPPYv2Y/edit?usp=sharing"",""งบพรบ!CG48"")"),0)</f>
        <v>0</v>
      </c>
      <c r="N165" s="425">
        <f ca="1">IFERROR(__xludf.DUMMYFUNCTION("IMPORTRANGE(""https://docs.google.com/spreadsheets/d/1-uDff_7J0KD5mKrp0Vvzr7lt3OU09vwQwhkpOPPYv2Y/edit?usp=sharing"",""งบพรบ!CI48"")"),0)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hidden="1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hidden="1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IFERROR(__xludf.DUMMYFUNCTION("IMPORTRANGE(""https://docs.google.com/spreadsheets/d/1eHaY18a8A9IcSdp1K8H6x8fbOy06t2VsZHhMHf-1x7Y/edit?usp=sharing"",""แผน!Z48"")"),0)</f>
        <v>0</v>
      </c>
      <c r="J167" s="595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IFERROR(__xludf.DUMMYFUNCTION("IMPORTRANGE(""https://docs.google.com/spreadsheets/d/1eHaY18a8A9IcSdp1K8H6x8fbOy06t2VsZHhMHf-1x7Y/edit?usp=sharing"",""แผน!Z48"")"),0)</f>
        <v>0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IFERROR(__xludf.DUMMYFUNCTION("IMPORTRANGE(""https://docs.google.com/spreadsheets/d/1eHaY18a8A9IcSdp1K8H6x8fbOy06t2VsZHhMHf-1x7Y/edit?usp=sharing"",""แผน!Z48"")"),0)</f>
        <v>0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7</v>
      </c>
      <c r="J172" s="688">
        <f>J183+J184</f>
        <v>7</v>
      </c>
      <c r="K172" s="687">
        <f ca="1">IF(I172&gt;0,J172*100/I172,0)</f>
        <v>100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19590</v>
      </c>
      <c r="M173" s="577">
        <f ca="1">M174+M175</f>
        <v>19590</v>
      </c>
      <c r="N173" s="577">
        <f ca="1">N174+N175</f>
        <v>19590</v>
      </c>
      <c r="O173" s="577">
        <f ca="1">IF(L173&gt;0,N173*100/L173,0)</f>
        <v>100</v>
      </c>
      <c r="P173" s="577">
        <f ca="1">IF(M173&gt;0,N173*100/M173,0)</f>
        <v>100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19590</v>
      </c>
      <c r="N175" s="425">
        <f ca="1">N178+N181</f>
        <v>19590</v>
      </c>
      <c r="O175" s="425">
        <f ca="1">IF(L175&gt;0,N175*100/L175,0)</f>
        <v>100</v>
      </c>
      <c r="P175" s="425">
        <f ca="1">IF(M175&gt;0,N175*100/M175,0)</f>
        <v>100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19590</v>
      </c>
      <c r="M176" s="425">
        <f ca="1">M177+M178</f>
        <v>19590</v>
      </c>
      <c r="N176" s="425">
        <f ca="1">N177+N178</f>
        <v>19590</v>
      </c>
      <c r="O176" s="425">
        <f ca="1">IF(L176&gt;0,N176*100/L176,0)</f>
        <v>100</v>
      </c>
      <c r="P176" s="425">
        <f ca="1">IF(M176&gt;0,N176*100/M176,0)</f>
        <v>100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IFERROR(__xludf.DUMMYFUNCTION("IMPORTRANGE(""https://docs.google.com/spreadsheets/d/1-uDff_7J0KD5mKrp0Vvzr7lt3OU09vwQwhkpOPPYv2Y/edit?usp=sharing"",""งบพรบ!CK48"")"),19590)</f>
        <v>19590</v>
      </c>
      <c r="M178" s="425">
        <f ca="1">IFERROR(__xludf.DUMMYFUNCTION("IMPORTRANGE(""https://docs.google.com/spreadsheets/d/1-uDff_7J0KD5mKrp0Vvzr7lt3OU09vwQwhkpOPPYv2Y/edit?usp=sharing"",""งบพรบ!CP48"")"),19590)</f>
        <v>19590</v>
      </c>
      <c r="N178" s="425">
        <f ca="1">IFERROR(__xludf.DUMMYFUNCTION("IMPORTRANGE(""https://docs.google.com/spreadsheets/d/1-uDff_7J0KD5mKrp0Vvzr7lt3OU09vwQwhkpOPPYv2Y/edit?usp=sharing"",""งบพรบ!CR48"")"),19590)</f>
        <v>19590</v>
      </c>
      <c r="O178" s="425">
        <f ca="1">IF(L178&gt;0,N178*100/L178,0)</f>
        <v>100</v>
      </c>
      <c r="P178" s="425">
        <f ca="1">IF(M178&gt;0,N178*100/M178,0)</f>
        <v>100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IFERROR(__xludf.DUMMYFUNCTION("IMPORTRANGE(""https://docs.google.com/spreadsheets/d/1-uDff_7J0KD5mKrp0Vvzr7lt3OU09vwQwhkpOPPYv2Y/edit?usp=sharing"",""งบพรบ!CN48"")"),0)</f>
        <v>0</v>
      </c>
      <c r="M181" s="425">
        <f ca="1">IFERROR(__xludf.DUMMYFUNCTION("IMPORTRANGE(""https://docs.google.com/spreadsheets/d/1-uDff_7J0KD5mKrp0Vvzr7lt3OU09vwQwhkpOPPYv2Y/edit?usp=sharing"",""งบพรบ!CQ48"")"),0)</f>
        <v>0</v>
      </c>
      <c r="N181" s="425">
        <f ca="1">IFERROR(__xludf.DUMMYFUNCTION("IMPORTRANGE(""https://docs.google.com/spreadsheets/d/1-uDff_7J0KD5mKrp0Vvzr7lt3OU09vwQwhkpOPPYv2Y/edit?usp=sharing"",""งบพรบ!CS48"")"),0)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IFERROR(__xludf.DUMMYFUNCTION("IMPORTRANGE(""https://docs.google.com/spreadsheets/d/1eHaY18a8A9IcSdp1K8H6x8fbOy06t2VsZHhMHf-1x7Y/edit?usp=sharing"",""แผน!AA48"")"),7)</f>
        <v>7</v>
      </c>
      <c r="J183" s="595">
        <v>7</v>
      </c>
      <c r="K183" s="425">
        <f ca="1">IF(I183&gt;0,J183*100/I183,0)</f>
        <v>100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0</v>
      </c>
      <c r="J185" s="688">
        <f>J230+J231</f>
        <v>0</v>
      </c>
      <c r="K185" s="687">
        <f ca="1">IF(I185&gt;0,J185*100/I185,0)</f>
        <v>0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161500</v>
      </c>
      <c r="M186" s="577">
        <f ca="1">M187+M188</f>
        <v>105500</v>
      </c>
      <c r="N186" s="577">
        <f ca="1">N187+N188</f>
        <v>40000</v>
      </c>
      <c r="O186" s="577">
        <f ca="1">IF(L186&gt;0,N186*100/L186,0)</f>
        <v>24.767801857585141</v>
      </c>
      <c r="P186" s="577">
        <f ca="1">IF(M186&gt;0,N186*100/M186,0)</f>
        <v>37.914691943127963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161500</v>
      </c>
      <c r="M188" s="425">
        <f ca="1">M191+M194</f>
        <v>105500</v>
      </c>
      <c r="N188" s="425">
        <f ca="1">N191+N194</f>
        <v>40000</v>
      </c>
      <c r="O188" s="425">
        <f ca="1">IF(L188&gt;0,N188*100/L188,0)</f>
        <v>24.767801857585141</v>
      </c>
      <c r="P188" s="425">
        <f ca="1">IF(M188&gt;0,N188*100/M188,0)</f>
        <v>37.914691943127963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161500</v>
      </c>
      <c r="M189" s="425">
        <f ca="1">M190+M191</f>
        <v>105500</v>
      </c>
      <c r="N189" s="425">
        <f ca="1">N190+N191</f>
        <v>40000</v>
      </c>
      <c r="O189" s="425">
        <f ca="1">IF(L189&gt;0,N189*100/L189,0)</f>
        <v>24.767801857585141</v>
      </c>
      <c r="P189" s="425">
        <f ca="1">IF(M189&gt;0,N189*100/M189,0)</f>
        <v>37.914691943127963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IFERROR(__xludf.DUMMYFUNCTION("IMPORTRANGE(""https://docs.google.com/spreadsheets/d/1-uDff_7J0KD5mKrp0Vvzr7lt3OU09vwQwhkpOPPYv2Y/edit?usp=sharing"",""งบพรบ!CU48"")"),161500)</f>
        <v>161500</v>
      </c>
      <c r="M191" s="425">
        <f ca="1">IFERROR(__xludf.DUMMYFUNCTION("IMPORTRANGE(""https://docs.google.com/spreadsheets/d/1-uDff_7J0KD5mKrp0Vvzr7lt3OU09vwQwhkpOPPYv2Y/edit?usp=sharing"",""งบพรบ!CZ48"")"),105500)</f>
        <v>105500</v>
      </c>
      <c r="N191" s="425">
        <f ca="1">IFERROR(__xludf.DUMMYFUNCTION("IMPORTRANGE(""https://docs.google.com/spreadsheets/d/1-uDff_7J0KD5mKrp0Vvzr7lt3OU09vwQwhkpOPPYv2Y/edit?usp=sharing"",""งบพรบ!DB48"")"),40000)</f>
        <v>40000</v>
      </c>
      <c r="O191" s="425">
        <f ca="1">IF(L191&gt;0,N191*100/L191,0)</f>
        <v>24.767801857585141</v>
      </c>
      <c r="P191" s="425">
        <f ca="1">IF(M191&gt;0,N191*100/M191,0)</f>
        <v>37.914691943127963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IFERROR(__xludf.DUMMYFUNCTION("IMPORTRANGE(""https://docs.google.com/spreadsheets/d/1-uDff_7J0KD5mKrp0Vvzr7lt3OU09vwQwhkpOPPYv2Y/edit?usp=sharing"",""งบพรบ!CX48"")"),0)</f>
        <v>0</v>
      </c>
      <c r="M194" s="425">
        <f ca="1">IFERROR(__xludf.DUMMYFUNCTION("IMPORTRANGE(""https://docs.google.com/spreadsheets/d/1-uDff_7J0KD5mKrp0Vvzr7lt3OU09vwQwhkpOPPYv2Y/edit?usp=sharing"",""งบพรบ!DA48"")"),0)</f>
        <v>0</v>
      </c>
      <c r="N194" s="425">
        <f ca="1">IFERROR(__xludf.DUMMYFUNCTION("IMPORTRANGE(""https://docs.google.com/spreadsheets/d/1-uDff_7J0KD5mKrp0Vvzr7lt3OU09vwQwhkpOPPYv2Y/edit?usp=sharing"",""งบพรบ!DC48"")"),0)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0</v>
      </c>
      <c r="K195" s="439">
        <f ca="1">IF(I195&gt;0,J195*100/I195,0)</f>
        <v>0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IFERROR(__xludf.DUMMYFUNCTION("IMPORTRANGE(""https://docs.google.com/spreadsheets/d/1eHaY18a8A9IcSdp1K8H6x8fbOy06t2VsZHhMHf-1x7Y/edit?usp=sharing"",""แผน!AB48"")"),6000)</f>
        <v>6000</v>
      </c>
      <c r="M196" s="428"/>
      <c r="N196" s="686">
        <v>0</v>
      </c>
      <c r="O196" s="577">
        <f ca="1">IF(L196&gt;0,N196*100/L196,0)</f>
        <v>0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IFERROR(__xludf.DUMMYFUNCTION("IMPORTRANGE(""https://docs.google.com/spreadsheets/d/1eHaY18a8A9IcSdp1K8H6x8fbOy06t2VsZHhMHf-1x7Y/edit?usp=sharing"",""แผน!AE48"")"),4)</f>
        <v>4</v>
      </c>
      <c r="J198" s="595">
        <v>0</v>
      </c>
      <c r="K198" s="425">
        <f ca="1">IF(I198&gt;0,J198*100/I198,0)</f>
        <v>0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1</v>
      </c>
      <c r="J202" s="438">
        <f>J209</f>
        <v>0</v>
      </c>
      <c r="K202" s="439">
        <f ca="1">IF(I202&gt;0,J202*100/I202,0)</f>
        <v>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18000</v>
      </c>
      <c r="M203" s="428"/>
      <c r="N203" s="577">
        <f>N204+N205+N206+N207</f>
        <v>0</v>
      </c>
      <c r="O203" s="577">
        <f ca="1">IF(L203&gt;0,N203*100/L203,0)</f>
        <v>0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2" t="s">
        <v>157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IFERROR(__xludf.DUMMYFUNCTION("IMPORTRANGE(""https://docs.google.com/spreadsheets/d/1eHaY18a8A9IcSdp1K8H6x8fbOy06t2VsZHhMHf-1x7Y/edit?usp=sharing"",""แผน!AG48"")"),1000)</f>
        <v>1000</v>
      </c>
      <c r="M204" s="428"/>
      <c r="N204" s="683">
        <v>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IFERROR(__xludf.DUMMYFUNCTION("IMPORTRANGE(""https://docs.google.com/spreadsheets/d/1eHaY18a8A9IcSdp1K8H6x8fbOy06t2VsZHhMHf-1x7Y/edit?usp=sharing"",""แผน!AH48"")"),0)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IFERROR(__xludf.DUMMYFUNCTION("IMPORTRANGE(""https://docs.google.com/spreadsheets/d/1eHaY18a8A9IcSdp1K8H6x8fbOy06t2VsZHhMHf-1x7Y/edit?usp=sharing"",""แผน!AI48"")"),8000)</f>
        <v>8000</v>
      </c>
      <c r="M206" s="428"/>
      <c r="N206" s="683">
        <v>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IFERROR(__xludf.DUMMYFUNCTION("IMPORTRANGE(""https://docs.google.com/spreadsheets/d/1eHaY18a8A9IcSdp1K8H6x8fbOy06t2VsZHhMHf-1x7Y/edit?usp=sharing"",""แผน!AJ48"")"),9000)</f>
        <v>9000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IFERROR(__xludf.DUMMYFUNCTION("IMPORTRANGE(""https://docs.google.com/spreadsheets/d/1eHaY18a8A9IcSdp1K8H6x8fbOy06t2VsZHhMHf-1x7Y/edit?usp=sharing"",""แผน!AK48"")"),1)</f>
        <v>1</v>
      </c>
      <c r="J209" s="595">
        <v>0</v>
      </c>
      <c r="K209" s="621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IFERROR(__xludf.DUMMYFUNCTION("IMPORTRANGE(""https://docs.google.com/spreadsheets/d/1eHaY18a8A9IcSdp1K8H6x8fbOy06t2VsZHhMHf-1x7Y/edit?usp=sharing"",""แผน!JX48"")"),1)</f>
        <v>1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IFERROR(__xludf.DUMMYFUNCTION("IMPORTRANGE(""https://docs.google.com/spreadsheets/d/1eHaY18a8A9IcSdp1K8H6x8fbOy06t2VsZHhMHf-1x7Y/edit?usp=sharing"",""แผน!JY48"")"),1)</f>
        <v>1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3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42000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IFERROR(__xludf.DUMMYFUNCTION("IMPORTRANGE(""https://docs.google.com/spreadsheets/d/1eHaY18a8A9IcSdp1K8H6x8fbOy06t2VsZHhMHf-1x7Y/edit?usp=sharing"",""แผน!AM48"")"),3000)</f>
        <v>3000</v>
      </c>
      <c r="M215" s="428"/>
      <c r="N215" s="683">
        <v>0</v>
      </c>
      <c r="O215" s="525"/>
      <c r="P215" s="428"/>
    </row>
    <row r="216" spans="1:16" ht="18.75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IFERROR(__xludf.DUMMYFUNCTION("IMPORTRANGE(""https://docs.google.com/spreadsheets/d/1eHaY18a8A9IcSdp1K8H6x8fbOy06t2VsZHhMHf-1x7Y/edit?usp=sharing"",""แผน!AN48"")"),15000)</f>
        <v>15000</v>
      </c>
      <c r="M216" s="428"/>
      <c r="N216" s="683">
        <v>0</v>
      </c>
      <c r="O216" s="525"/>
      <c r="P216" s="428"/>
    </row>
    <row r="217" spans="1:16" ht="18.75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IFERROR(__xludf.DUMMYFUNCTION("IMPORTRANGE(""https://docs.google.com/spreadsheets/d/1eHaY18a8A9IcSdp1K8H6x8fbOy06t2VsZHhMHf-1x7Y/edit?usp=sharing"",""แผน!AO48"")"),24000)</f>
        <v>24000</v>
      </c>
      <c r="M217" s="428"/>
      <c r="N217" s="683">
        <v>0</v>
      </c>
      <c r="O217" s="525"/>
      <c r="P217" s="428"/>
    </row>
    <row r="218" spans="1:16" ht="19.5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IFERROR(__xludf.DUMMYFUNCTION("IMPORTRANGE(""https://docs.google.com/spreadsheets/d/1eHaY18a8A9IcSdp1K8H6x8fbOy06t2VsZHhMHf-1x7Y/edit?usp=sharing"",""แผน!AP48"")"),3)</f>
        <v>3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IFERROR(__xludf.DUMMYFUNCTION("IMPORTRANGE(""https://docs.google.com/spreadsheets/d/1eHaY18a8A9IcSdp1K8H6x8fbOy06t2VsZHhMHf-1x7Y/edit?usp=sharing"",""แผน!AP48"")"),3)</f>
        <v>3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10000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4500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2" t="s">
        <v>156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IFERROR(__xludf.DUMMYFUNCTION("IMPORTRANGE(""https://docs.google.com/spreadsheets/d/1eHaY18a8A9IcSdp1K8H6x8fbOy06t2VsZHhMHf-1x7Y/edit?usp=sharing"",""แผน!AR48"")"),3000)</f>
        <v>3000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IFERROR(__xludf.DUMMYFUNCTION("IMPORTRANGE(""https://docs.google.com/spreadsheets/d/1eHaY18a8A9IcSdp1K8H6x8fbOy06t2VsZHhMHf-1x7Y/edit?usp=sharing"",""แผน!AS48"")"),1500)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IFERROR(__xludf.DUMMYFUNCTION("IMPORTRANGE(""https://docs.google.com/spreadsheets/d/1eHaY18a8A9IcSdp1K8H6x8fbOy06t2VsZHhMHf-1x7Y/edit?usp=sharing"",""แผน!AT48"")"),0)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IFERROR(__xludf.DUMMYFUNCTION("IMPORTRANGE(""https://docs.google.com/spreadsheets/d/1eHaY18a8A9IcSdp1K8H6x8fbOy06t2VsZHhMHf-1x7Y/edit?usp=sharing"",""แผน!AV48"")"),10000)</f>
        <v>10000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IFERROR(__xludf.DUMMYFUNCTION("IMPORTRANGE(""https://docs.google.com/spreadsheets/d/1eHaY18a8A9IcSdp1K8H6x8fbOy06t2VsZHhMHf-1x7Y/edit?usp=sharing"",""แผน!AV48"")"),10000)</f>
        <v>10000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IFERROR(__xludf.DUMMYFUNCTION("IMPORTRANGE(""https://docs.google.com/spreadsheets/d/1eHaY18a8A9IcSdp1K8H6x8fbOy06t2VsZHhMHf-1x7Y/edit?usp=sharing"",""แผน!AU48"")"),0)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432"/>
      <c r="B231" s="434"/>
      <c r="C231" s="682" t="s">
        <v>99</v>
      </c>
      <c r="D231" s="433"/>
      <c r="E231" s="433"/>
      <c r="F231" s="433"/>
      <c r="G231" s="436"/>
      <c r="H231" s="437" t="s">
        <v>33</v>
      </c>
      <c r="I231" s="438">
        <f ca="1">I242+I253</f>
        <v>0</v>
      </c>
      <c r="J231" s="438">
        <f>J242+J253</f>
        <v>0</v>
      </c>
      <c r="K231" s="439">
        <f ca="1">IF(I231&gt;0,J231*100/I231,0)</f>
        <v>0</v>
      </c>
      <c r="L231" s="571"/>
      <c r="M231" s="571"/>
      <c r="N231" s="571"/>
      <c r="O231" s="571"/>
      <c r="P231" s="571"/>
    </row>
    <row r="232" spans="1:16" ht="19.5" hidden="1" x14ac:dyDescent="0.3">
      <c r="A232" s="535"/>
      <c r="B232" s="418"/>
      <c r="C232" s="570" t="s">
        <v>16</v>
      </c>
      <c r="D232" s="579" t="s">
        <v>17</v>
      </c>
      <c r="E232" s="418"/>
      <c r="F232" s="418"/>
      <c r="G232" s="422"/>
      <c r="H232" s="681" t="s">
        <v>12</v>
      </c>
      <c r="I232" s="526"/>
      <c r="J232" s="526"/>
      <c r="K232" s="525"/>
      <c r="L232" s="577">
        <f ca="1">L243+L254</f>
        <v>0</v>
      </c>
      <c r="M232" s="428"/>
      <c r="N232" s="577">
        <f>N243+N254</f>
        <v>0</v>
      </c>
      <c r="O232" s="428"/>
      <c r="P232" s="428"/>
    </row>
    <row r="233" spans="1:16" ht="18.75" hidden="1" x14ac:dyDescent="0.25">
      <c r="A233" s="535"/>
      <c r="B233" s="419"/>
      <c r="C233" s="418"/>
      <c r="D233" s="293" t="s">
        <v>80</v>
      </c>
      <c r="E233" s="418"/>
      <c r="F233" s="418"/>
      <c r="G233" s="422"/>
      <c r="H233" s="576" t="s">
        <v>12</v>
      </c>
      <c r="I233" s="526"/>
      <c r="J233" s="526"/>
      <c r="K233" s="525"/>
      <c r="L233" s="425">
        <f ca="1">L244+L255</f>
        <v>0</v>
      </c>
      <c r="M233" s="428"/>
      <c r="N233" s="425">
        <f>N244+N255</f>
        <v>0</v>
      </c>
      <c r="O233" s="428"/>
      <c r="P233" s="428"/>
    </row>
    <row r="234" spans="1:16" ht="18.75" hidden="1" x14ac:dyDescent="0.25">
      <c r="A234" s="417"/>
      <c r="B234" s="419"/>
      <c r="C234" s="419"/>
      <c r="D234" s="293" t="s">
        <v>82</v>
      </c>
      <c r="E234" s="418"/>
      <c r="F234" s="418"/>
      <c r="G234" s="422"/>
      <c r="H234" s="576" t="s">
        <v>12</v>
      </c>
      <c r="I234" s="427"/>
      <c r="J234" s="427"/>
      <c r="K234" s="428"/>
      <c r="L234" s="425">
        <f ca="1">L245+L256</f>
        <v>0</v>
      </c>
      <c r="M234" s="428"/>
      <c r="N234" s="425">
        <f>N245+N256</f>
        <v>0</v>
      </c>
      <c r="O234" s="428"/>
      <c r="P234" s="428"/>
    </row>
    <row r="235" spans="1:16" ht="18.75" hidden="1" x14ac:dyDescent="0.25">
      <c r="A235" s="417"/>
      <c r="B235" s="419"/>
      <c r="C235" s="419"/>
      <c r="D235" s="293" t="s">
        <v>100</v>
      </c>
      <c r="E235" s="418"/>
      <c r="F235" s="418"/>
      <c r="G235" s="422"/>
      <c r="H235" s="576" t="s">
        <v>12</v>
      </c>
      <c r="I235" s="427"/>
      <c r="J235" s="427"/>
      <c r="K235" s="428"/>
      <c r="L235" s="425">
        <f ca="1">L246+L257</f>
        <v>0</v>
      </c>
      <c r="M235" s="428"/>
      <c r="N235" s="425">
        <f>N246+N257</f>
        <v>0</v>
      </c>
      <c r="O235" s="428"/>
      <c r="P235" s="428"/>
    </row>
    <row r="236" spans="1:16" ht="18.75" hidden="1" x14ac:dyDescent="0.25">
      <c r="A236" s="417"/>
      <c r="B236" s="419"/>
      <c r="C236" s="419"/>
      <c r="D236" s="293" t="s">
        <v>101</v>
      </c>
      <c r="E236" s="418"/>
      <c r="F236" s="418"/>
      <c r="G236" s="422"/>
      <c r="H236" s="576" t="s">
        <v>12</v>
      </c>
      <c r="I236" s="427"/>
      <c r="J236" s="427"/>
      <c r="K236" s="428"/>
      <c r="L236" s="425">
        <f ca="1">L247+L258</f>
        <v>0</v>
      </c>
      <c r="M236" s="428"/>
      <c r="N236" s="425">
        <f>N247+N258</f>
        <v>0</v>
      </c>
      <c r="O236" s="428"/>
      <c r="P236" s="428"/>
    </row>
    <row r="237" spans="1:16" ht="19.5" hidden="1" x14ac:dyDescent="0.3">
      <c r="A237" s="532"/>
      <c r="B237" s="430"/>
      <c r="C237" s="680" t="s">
        <v>16</v>
      </c>
      <c r="D237" s="569" t="s">
        <v>36</v>
      </c>
      <c r="E237" s="529"/>
      <c r="F237" s="529"/>
      <c r="G237" s="528"/>
      <c r="H237" s="527"/>
      <c r="I237" s="526"/>
      <c r="J237" s="427"/>
      <c r="K237" s="428"/>
      <c r="L237" s="428"/>
      <c r="M237" s="428"/>
      <c r="N237" s="428"/>
      <c r="O237" s="525"/>
      <c r="P237" s="525"/>
    </row>
    <row r="238" spans="1:16" ht="18.75" hidden="1" x14ac:dyDescent="0.25">
      <c r="A238" s="532"/>
      <c r="B238" s="430"/>
      <c r="C238" s="430"/>
      <c r="D238" s="421" t="s">
        <v>102</v>
      </c>
      <c r="E238" s="420"/>
      <c r="F238" s="420"/>
      <c r="G238" s="527"/>
      <c r="H238" s="566" t="s">
        <v>33</v>
      </c>
      <c r="I238" s="424">
        <f ca="1">I249+I260</f>
        <v>0</v>
      </c>
      <c r="J238" s="424">
        <f>J249+J260</f>
        <v>0</v>
      </c>
      <c r="K238" s="425">
        <f ca="1">IF(I238&gt;0,J238*100/I238,0)</f>
        <v>0</v>
      </c>
      <c r="L238" s="428"/>
      <c r="M238" s="428"/>
      <c r="N238" s="428"/>
      <c r="O238" s="428"/>
      <c r="P238" s="428"/>
    </row>
    <row r="239" spans="1:16" ht="18.75" hidden="1" x14ac:dyDescent="0.25">
      <c r="A239" s="532"/>
      <c r="B239" s="430"/>
      <c r="C239" s="430"/>
      <c r="D239" s="679" t="s">
        <v>41</v>
      </c>
      <c r="E239" s="420"/>
      <c r="F239" s="420"/>
      <c r="G239" s="527"/>
      <c r="H239" s="527"/>
      <c r="I239" s="427"/>
      <c r="J239" s="427"/>
      <c r="K239" s="428"/>
      <c r="L239" s="428"/>
      <c r="M239" s="428"/>
      <c r="N239" s="428"/>
      <c r="O239" s="525"/>
      <c r="P239" s="525"/>
    </row>
    <row r="240" spans="1:16" ht="18.75" hidden="1" x14ac:dyDescent="0.25">
      <c r="A240" s="532"/>
      <c r="B240" s="430"/>
      <c r="C240" s="430"/>
      <c r="D240" s="430"/>
      <c r="E240" s="567" t="s">
        <v>103</v>
      </c>
      <c r="F240" s="420"/>
      <c r="G240" s="527"/>
      <c r="H240" s="566" t="s">
        <v>33</v>
      </c>
      <c r="I240" s="424">
        <f>I251+I262</f>
        <v>0</v>
      </c>
      <c r="J240" s="424">
        <f>J251+J262</f>
        <v>0</v>
      </c>
      <c r="K240" s="425">
        <f>IF(I240&gt;0,J240*100/I240,0)</f>
        <v>0</v>
      </c>
      <c r="L240" s="428"/>
      <c r="M240" s="428"/>
      <c r="N240" s="428"/>
      <c r="O240" s="428"/>
      <c r="P240" s="428"/>
    </row>
    <row r="241" spans="1:16" ht="18.75" hidden="1" x14ac:dyDescent="0.25">
      <c r="A241" s="532"/>
      <c r="B241" s="430"/>
      <c r="C241" s="430"/>
      <c r="D241" s="430"/>
      <c r="E241" s="567" t="s">
        <v>104</v>
      </c>
      <c r="F241" s="420"/>
      <c r="G241" s="527"/>
      <c r="H241" s="566" t="s">
        <v>54</v>
      </c>
      <c r="I241" s="424">
        <f>I252+I263</f>
        <v>0</v>
      </c>
      <c r="J241" s="424">
        <f>J252+J263</f>
        <v>0</v>
      </c>
      <c r="K241" s="425">
        <f>IF(I241&gt;0,J241*100/I241,0)</f>
        <v>0</v>
      </c>
      <c r="L241" s="428"/>
      <c r="M241" s="428"/>
      <c r="N241" s="428"/>
      <c r="O241" s="428"/>
      <c r="P241" s="428"/>
    </row>
    <row r="242" spans="1:16" ht="19.5" hidden="1" x14ac:dyDescent="0.3">
      <c r="A242" s="432"/>
      <c r="B242" s="434"/>
      <c r="C242" s="678" t="s">
        <v>105</v>
      </c>
      <c r="D242" s="433"/>
      <c r="E242" s="433"/>
      <c r="F242" s="433"/>
      <c r="G242" s="436"/>
      <c r="H242" s="677" t="s">
        <v>33</v>
      </c>
      <c r="I242" s="676">
        <f ca="1">I249</f>
        <v>0</v>
      </c>
      <c r="J242" s="676">
        <f>J249</f>
        <v>0</v>
      </c>
      <c r="K242" s="675">
        <f ca="1">IF(I242&gt;0,J242*100/I242,0)</f>
        <v>0</v>
      </c>
      <c r="L242" s="571"/>
      <c r="M242" s="571"/>
      <c r="N242" s="571"/>
      <c r="O242" s="571"/>
      <c r="P242" s="571"/>
    </row>
    <row r="243" spans="1:16" ht="19.5" hidden="1" x14ac:dyDescent="0.3">
      <c r="A243" s="535"/>
      <c r="B243" s="418"/>
      <c r="C243" s="531" t="s">
        <v>16</v>
      </c>
      <c r="D243" s="541" t="s">
        <v>17</v>
      </c>
      <c r="E243" s="418"/>
      <c r="F243" s="418"/>
      <c r="G243" s="422"/>
      <c r="H243" s="673" t="s">
        <v>12</v>
      </c>
      <c r="I243" s="526"/>
      <c r="J243" s="526"/>
      <c r="K243" s="525"/>
      <c r="L243" s="539">
        <f ca="1">L244+L245+L246+L247</f>
        <v>0</v>
      </c>
      <c r="M243" s="428"/>
      <c r="N243" s="539">
        <f>N244+N245+N246+N247</f>
        <v>0</v>
      </c>
      <c r="O243" s="539">
        <f ca="1">IF(L243&gt;0,N243*100/L243,0)</f>
        <v>0</v>
      </c>
      <c r="P243" s="539">
        <f>IF(M243&gt;0,N243*100/M243,0)</f>
        <v>0</v>
      </c>
    </row>
    <row r="244" spans="1:16" ht="18.75" hidden="1" x14ac:dyDescent="0.25">
      <c r="A244" s="535"/>
      <c r="B244" s="419"/>
      <c r="C244" s="418"/>
      <c r="D244" s="534" t="s">
        <v>80</v>
      </c>
      <c r="E244" s="418"/>
      <c r="F244" s="418"/>
      <c r="G244" s="422"/>
      <c r="H244" s="536" t="s">
        <v>12</v>
      </c>
      <c r="I244" s="526"/>
      <c r="J244" s="526"/>
      <c r="K244" s="525"/>
      <c r="L244" s="521">
        <f ca="1">IFERROR(__xludf.DUMMYFUNCTION("IMPORTRANGE(""https://docs.google.com/spreadsheets/d/1eHaY18a8A9IcSdp1K8H6x8fbOy06t2VsZHhMHf-1x7Y/edit?usp=sharing"",""แผน!AX48"")"),0)</f>
        <v>0</v>
      </c>
      <c r="M244" s="428"/>
      <c r="N244" s="672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34" t="s">
        <v>82</v>
      </c>
      <c r="E245" s="418"/>
      <c r="F245" s="418"/>
      <c r="G245" s="422"/>
      <c r="H245" s="536" t="s">
        <v>12</v>
      </c>
      <c r="I245" s="427"/>
      <c r="J245" s="427"/>
      <c r="K245" s="428"/>
      <c r="L245" s="521">
        <f ca="1">IFERROR(__xludf.DUMMYFUNCTION("IMPORTRANGE(""https://docs.google.com/spreadsheets/d/1eHaY18a8A9IcSdp1K8H6x8fbOy06t2VsZHhMHf-1x7Y/edit?usp=sharing"",""แผน!AY48"")"),0)</f>
        <v>0</v>
      </c>
      <c r="M245" s="428"/>
      <c r="N245" s="672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34" t="s">
        <v>100</v>
      </c>
      <c r="E246" s="418"/>
      <c r="F246" s="418"/>
      <c r="G246" s="422"/>
      <c r="H246" s="536" t="s">
        <v>12</v>
      </c>
      <c r="I246" s="427"/>
      <c r="J246" s="427"/>
      <c r="K246" s="428"/>
      <c r="L246" s="521">
        <f ca="1">IFERROR(__xludf.DUMMYFUNCTION("IMPORTRANGE(""https://docs.google.com/spreadsheets/d/1eHaY18a8A9IcSdp1K8H6x8fbOy06t2VsZHhMHf-1x7Y/edit?usp=sharing"",""แผน!AZ48"")"),0)</f>
        <v>0</v>
      </c>
      <c r="M246" s="428"/>
      <c r="N246" s="672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34" t="s">
        <v>101</v>
      </c>
      <c r="E247" s="418"/>
      <c r="F247" s="418"/>
      <c r="G247" s="422"/>
      <c r="H247" s="536" t="s">
        <v>12</v>
      </c>
      <c r="I247" s="427"/>
      <c r="J247" s="427"/>
      <c r="K247" s="428"/>
      <c r="L247" s="521">
        <f ca="1">IFERROR(__xludf.DUMMYFUNCTION("IMPORTRANGE(""https://docs.google.com/spreadsheets/d/1eHaY18a8A9IcSdp1K8H6x8fbOy06t2VsZHhMHf-1x7Y/edit?usp=sharing"",""แผน!BA48"")"),0)</f>
        <v>0</v>
      </c>
      <c r="M247" s="428"/>
      <c r="N247" s="672">
        <v>0</v>
      </c>
      <c r="O247" s="428"/>
      <c r="P247" s="428"/>
    </row>
    <row r="248" spans="1:16" ht="19.5" hidden="1" x14ac:dyDescent="0.3">
      <c r="A248" s="532"/>
      <c r="B248" s="430"/>
      <c r="C248" s="671" t="s">
        <v>16</v>
      </c>
      <c r="D248" s="530" t="s">
        <v>36</v>
      </c>
      <c r="E248" s="529"/>
      <c r="F248" s="529"/>
      <c r="G248" s="528"/>
      <c r="H248" s="527"/>
      <c r="I248" s="526"/>
      <c r="J248" s="427"/>
      <c r="K248" s="428"/>
      <c r="L248" s="428"/>
      <c r="M248" s="428"/>
      <c r="N248" s="428"/>
      <c r="O248" s="525"/>
      <c r="P248" s="525"/>
    </row>
    <row r="249" spans="1:16" ht="18.75" hidden="1" x14ac:dyDescent="0.25">
      <c r="A249" s="532"/>
      <c r="B249" s="430"/>
      <c r="C249" s="430"/>
      <c r="D249" s="524" t="s">
        <v>102</v>
      </c>
      <c r="E249" s="420"/>
      <c r="F249" s="420"/>
      <c r="G249" s="527"/>
      <c r="H249" s="668" t="s">
        <v>33</v>
      </c>
      <c r="I249" s="199">
        <f ca="1">IFERROR(__xludf.DUMMYFUNCTION("IMPORTRANGE(""https://docs.google.com/spreadsheets/d/1eHaY18a8A9IcSdp1K8H6x8fbOy06t2VsZHhMHf-1x7Y/edit?usp=sharing"",""แผน!BG48"")"),0)</f>
        <v>0</v>
      </c>
      <c r="J249" s="522">
        <v>0</v>
      </c>
      <c r="K249" s="521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2"/>
      <c r="B250" s="430"/>
      <c r="C250" s="430"/>
      <c r="D250" s="670" t="s">
        <v>41</v>
      </c>
      <c r="E250" s="420"/>
      <c r="F250" s="420"/>
      <c r="G250" s="527"/>
      <c r="H250" s="527"/>
      <c r="I250" s="427"/>
      <c r="J250" s="427"/>
      <c r="K250" s="428"/>
      <c r="L250" s="428"/>
      <c r="M250" s="428"/>
      <c r="N250" s="428"/>
      <c r="O250" s="525"/>
      <c r="P250" s="525"/>
    </row>
    <row r="251" spans="1:16" ht="18.75" hidden="1" x14ac:dyDescent="0.25">
      <c r="A251" s="532"/>
      <c r="B251" s="430"/>
      <c r="C251" s="430"/>
      <c r="D251" s="430"/>
      <c r="E251" s="669" t="s">
        <v>103</v>
      </c>
      <c r="F251" s="420"/>
      <c r="G251" s="527"/>
      <c r="H251" s="668" t="s">
        <v>33</v>
      </c>
      <c r="I251" s="199">
        <v>0</v>
      </c>
      <c r="J251" s="522">
        <v>0</v>
      </c>
      <c r="K251" s="521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2"/>
      <c r="B252" s="430"/>
      <c r="C252" s="430"/>
      <c r="D252" s="430"/>
      <c r="E252" s="669" t="s">
        <v>104</v>
      </c>
      <c r="F252" s="420"/>
      <c r="G252" s="527"/>
      <c r="H252" s="668" t="s">
        <v>54</v>
      </c>
      <c r="I252" s="199">
        <v>0</v>
      </c>
      <c r="J252" s="522">
        <v>0</v>
      </c>
      <c r="K252" s="521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78" t="s">
        <v>106</v>
      </c>
      <c r="D253" s="433"/>
      <c r="E253" s="433"/>
      <c r="F253" s="433"/>
      <c r="G253" s="436"/>
      <c r="H253" s="677" t="s">
        <v>33</v>
      </c>
      <c r="I253" s="676">
        <f ca="1">I260</f>
        <v>0</v>
      </c>
      <c r="J253" s="676">
        <f>J260</f>
        <v>0</v>
      </c>
      <c r="K253" s="675">
        <f ca="1">IF(I253&gt;0,J253*100/I253,0)</f>
        <v>0</v>
      </c>
      <c r="L253" s="571"/>
      <c r="M253" s="571"/>
      <c r="N253" s="571"/>
      <c r="O253" s="571"/>
      <c r="P253" s="571"/>
    </row>
    <row r="254" spans="1:16" ht="19.5" hidden="1" x14ac:dyDescent="0.3">
      <c r="A254" s="535"/>
      <c r="B254" s="418"/>
      <c r="C254" s="531" t="s">
        <v>16</v>
      </c>
      <c r="D254" s="674" t="s">
        <v>17</v>
      </c>
      <c r="E254" s="418"/>
      <c r="F254" s="418"/>
      <c r="G254" s="422"/>
      <c r="H254" s="673" t="s">
        <v>12</v>
      </c>
      <c r="I254" s="526"/>
      <c r="J254" s="526"/>
      <c r="K254" s="525"/>
      <c r="L254" s="539">
        <f ca="1">L255+L256+L257+L258</f>
        <v>0</v>
      </c>
      <c r="M254" s="428"/>
      <c r="N254" s="539">
        <f>N255+N256+N257+N258</f>
        <v>0</v>
      </c>
      <c r="O254" s="539">
        <f ca="1">IF(L254&gt;0,N254*100/L254,0)</f>
        <v>0</v>
      </c>
      <c r="P254" s="539">
        <f>IF(M254&gt;0,N254*100/M254,0)</f>
        <v>0</v>
      </c>
    </row>
    <row r="255" spans="1:16" ht="18.75" hidden="1" x14ac:dyDescent="0.25">
      <c r="A255" s="535"/>
      <c r="B255" s="419"/>
      <c r="C255" s="418"/>
      <c r="D255" s="534" t="s">
        <v>80</v>
      </c>
      <c r="E255" s="418"/>
      <c r="F255" s="418"/>
      <c r="G255" s="422"/>
      <c r="H255" s="536" t="s">
        <v>12</v>
      </c>
      <c r="I255" s="526"/>
      <c r="J255" s="526"/>
      <c r="K255" s="525"/>
      <c r="L255" s="521">
        <f ca="1">IFERROR(__xludf.DUMMYFUNCTION("IMPORTRANGE(""https://docs.google.com/spreadsheets/d/1eHaY18a8A9IcSdp1K8H6x8fbOy06t2VsZHhMHf-1x7Y/edit?usp=sharing"",""แผน!BB48"")"),0)</f>
        <v>0</v>
      </c>
      <c r="M255" s="428"/>
      <c r="N255" s="672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34" t="s">
        <v>82</v>
      </c>
      <c r="E256" s="418"/>
      <c r="F256" s="418"/>
      <c r="G256" s="422"/>
      <c r="H256" s="536" t="s">
        <v>12</v>
      </c>
      <c r="I256" s="427"/>
      <c r="J256" s="427"/>
      <c r="K256" s="428"/>
      <c r="L256" s="521">
        <f ca="1">IFERROR(__xludf.DUMMYFUNCTION("IMPORTRANGE(""https://docs.google.com/spreadsheets/d/1eHaY18a8A9IcSdp1K8H6x8fbOy06t2VsZHhMHf-1x7Y/edit?usp=sharing"",""แผน!BC48"")"),0)</f>
        <v>0</v>
      </c>
      <c r="M256" s="428"/>
      <c r="N256" s="672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34" t="s">
        <v>100</v>
      </c>
      <c r="E257" s="418"/>
      <c r="F257" s="418"/>
      <c r="G257" s="422"/>
      <c r="H257" s="536" t="s">
        <v>12</v>
      </c>
      <c r="I257" s="427"/>
      <c r="J257" s="427"/>
      <c r="K257" s="428"/>
      <c r="L257" s="521">
        <f ca="1">IFERROR(__xludf.DUMMYFUNCTION("IMPORTRANGE(""https://docs.google.com/spreadsheets/d/1eHaY18a8A9IcSdp1K8H6x8fbOy06t2VsZHhMHf-1x7Y/edit?usp=sharing"",""แผน!BD48"")"),0)</f>
        <v>0</v>
      </c>
      <c r="M257" s="428"/>
      <c r="N257" s="672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34" t="s">
        <v>101</v>
      </c>
      <c r="E258" s="418"/>
      <c r="F258" s="418"/>
      <c r="G258" s="422"/>
      <c r="H258" s="536" t="s">
        <v>12</v>
      </c>
      <c r="I258" s="427"/>
      <c r="J258" s="427"/>
      <c r="K258" s="428"/>
      <c r="L258" s="521">
        <f ca="1">IFERROR(__xludf.DUMMYFUNCTION("IMPORTRANGE(""https://docs.google.com/spreadsheets/d/1eHaY18a8A9IcSdp1K8H6x8fbOy06t2VsZHhMHf-1x7Y/edit?usp=sharing"",""แผน!BE48"")"),0)</f>
        <v>0</v>
      </c>
      <c r="M258" s="428"/>
      <c r="N258" s="672">
        <v>0</v>
      </c>
      <c r="O258" s="428"/>
      <c r="P258" s="428"/>
    </row>
    <row r="259" spans="1:16" ht="19.5" hidden="1" x14ac:dyDescent="0.3">
      <c r="A259" s="532"/>
      <c r="B259" s="430"/>
      <c r="C259" s="671" t="s">
        <v>16</v>
      </c>
      <c r="D259" s="530" t="s">
        <v>36</v>
      </c>
      <c r="E259" s="529"/>
      <c r="F259" s="529"/>
      <c r="G259" s="528"/>
      <c r="H259" s="527"/>
      <c r="I259" s="526"/>
      <c r="J259" s="427"/>
      <c r="K259" s="428"/>
      <c r="L259" s="428"/>
      <c r="M259" s="428"/>
      <c r="N259" s="428"/>
      <c r="O259" s="525"/>
      <c r="P259" s="525"/>
    </row>
    <row r="260" spans="1:16" ht="18.75" hidden="1" x14ac:dyDescent="0.25">
      <c r="A260" s="532"/>
      <c r="B260" s="430"/>
      <c r="C260" s="430"/>
      <c r="D260" s="524" t="s">
        <v>102</v>
      </c>
      <c r="E260" s="420"/>
      <c r="F260" s="420"/>
      <c r="G260" s="527"/>
      <c r="H260" s="668" t="s">
        <v>33</v>
      </c>
      <c r="I260" s="199">
        <f ca="1">IFERROR(__xludf.DUMMYFUNCTION("IMPORTRANGE(""https://docs.google.com/spreadsheets/d/1eHaY18a8A9IcSdp1K8H6x8fbOy06t2VsZHhMHf-1x7Y/edit?usp=sharing"",""แผน!BH48"")"),0)</f>
        <v>0</v>
      </c>
      <c r="J260" s="522">
        <v>0</v>
      </c>
      <c r="K260" s="521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2"/>
      <c r="B261" s="430"/>
      <c r="C261" s="430"/>
      <c r="D261" s="670" t="s">
        <v>41</v>
      </c>
      <c r="E261" s="420"/>
      <c r="F261" s="420"/>
      <c r="G261" s="527"/>
      <c r="H261" s="527"/>
      <c r="I261" s="427"/>
      <c r="J261" s="427"/>
      <c r="K261" s="428"/>
      <c r="L261" s="428"/>
      <c r="M261" s="428"/>
      <c r="N261" s="428"/>
      <c r="O261" s="525"/>
      <c r="P261" s="525"/>
    </row>
    <row r="262" spans="1:16" ht="18.75" hidden="1" x14ac:dyDescent="0.25">
      <c r="A262" s="532"/>
      <c r="B262" s="430"/>
      <c r="C262" s="430"/>
      <c r="D262" s="430"/>
      <c r="E262" s="669" t="s">
        <v>103</v>
      </c>
      <c r="F262" s="420"/>
      <c r="G262" s="527"/>
      <c r="H262" s="668" t="s">
        <v>33</v>
      </c>
      <c r="I262" s="427"/>
      <c r="J262" s="522">
        <v>0</v>
      </c>
      <c r="K262" s="521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2"/>
      <c r="B263" s="430"/>
      <c r="C263" s="430"/>
      <c r="D263" s="430"/>
      <c r="E263" s="669" t="s">
        <v>104</v>
      </c>
      <c r="F263" s="420"/>
      <c r="G263" s="527"/>
      <c r="H263" s="668" t="s">
        <v>54</v>
      </c>
      <c r="I263" s="427"/>
      <c r="J263" s="522">
        <v>0</v>
      </c>
      <c r="K263" s="521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IFERROR(__xludf.DUMMYFUNCTION("IMPORTRANGE(""https://docs.google.com/spreadsheets/d/1-uDff_7J0KD5mKrp0Vvzr7lt3OU09vwQwhkpOPPYv2Y/edit?usp=sharing"",""งบพรบ!DE48"")"),0)</f>
        <v>0</v>
      </c>
      <c r="M271" s="521">
        <f ca="1">IFERROR(__xludf.DUMMYFUNCTION("IMPORTRANGE(""https://docs.google.com/spreadsheets/d/1-uDff_7J0KD5mKrp0Vvzr7lt3OU09vwQwhkpOPPYv2Y/edit?usp=sharing"",""งบพรบ!DJ48"")"),0)</f>
        <v>0</v>
      </c>
      <c r="N271" s="521">
        <f ca="1">IFERROR(__xludf.DUMMYFUNCTION("IMPORTRANGE(""https://docs.google.com/spreadsheets/d/1-uDff_7J0KD5mKrp0Vvzr7lt3OU09vwQwhkpOPPYv2Y/edit?usp=sharing"",""งบพรบ!DL48"")"),0)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IFERROR(__xludf.DUMMYFUNCTION("IMPORTRANGE(""https://docs.google.com/spreadsheets/d/1-uDff_7J0KD5mKrp0Vvzr7lt3OU09vwQwhkpOPPYv2Y/edit?usp=sharing"",""งบพรบ!DH48"")"),0)</f>
        <v>0</v>
      </c>
      <c r="M274" s="521">
        <f ca="1">IFERROR(__xludf.DUMMYFUNCTION("IMPORTRANGE(""https://docs.google.com/spreadsheets/d/1-uDff_7J0KD5mKrp0Vvzr7lt3OU09vwQwhkpOPPYv2Y/edit?usp=sharing"",""งบพรบ!DK48"")"),0)</f>
        <v>0</v>
      </c>
      <c r="N274" s="521">
        <f ca="1">IFERROR(__xludf.DUMMYFUNCTION("IMPORTRANGE(""https://docs.google.com/spreadsheets/d/1-uDff_7J0KD5mKrp0Vvzr7lt3OU09vwQwhkpOPPYv2Y/edit?usp=sharing"",""งบพรบ!DM48"")"),0)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hidden="1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hidden="1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hidden="1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0</v>
      </c>
      <c r="J280" s="629">
        <f>J293</f>
        <v>0</v>
      </c>
      <c r="K280" s="628">
        <f ca="1">IF(I280&gt;0,J280*100/I280,0)</f>
        <v>0</v>
      </c>
      <c r="L280" s="627"/>
      <c r="M280" s="627"/>
      <c r="N280" s="627"/>
      <c r="O280" s="627"/>
      <c r="P280" s="627"/>
    </row>
    <row r="281" spans="1:16" ht="19.5" hidden="1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0</v>
      </c>
      <c r="J281" s="629">
        <f>J292</f>
        <v>0</v>
      </c>
      <c r="K281" s="628">
        <f ca="1">IF(I281&gt;0,J281*100/I281,0)</f>
        <v>0</v>
      </c>
      <c r="L281" s="627"/>
      <c r="M281" s="627"/>
      <c r="N281" s="627"/>
      <c r="O281" s="627"/>
      <c r="P281" s="627"/>
    </row>
    <row r="282" spans="1:16" ht="19.5" hidden="1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0</v>
      </c>
      <c r="M282" s="577">
        <f ca="1">M283+M284</f>
        <v>0</v>
      </c>
      <c r="N282" s="577">
        <f ca="1">N283+N284</f>
        <v>0</v>
      </c>
      <c r="O282" s="577">
        <f ca="1">IF(L282&gt;0,N282*100/L282,0)</f>
        <v>0</v>
      </c>
      <c r="P282" s="577">
        <f ca="1">IF(M282&gt;0,N282*100/M282,0)</f>
        <v>0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hidden="1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0</v>
      </c>
      <c r="M284" s="425">
        <f ca="1">M287+M290</f>
        <v>0</v>
      </c>
      <c r="N284" s="425">
        <f ca="1">N287+N290</f>
        <v>0</v>
      </c>
      <c r="O284" s="425">
        <f ca="1">IF(L284&gt;0,N284*100/L284,0)</f>
        <v>0</v>
      </c>
      <c r="P284" s="425">
        <f ca="1">IF(M284&gt;0,N284*100/M284,0)</f>
        <v>0</v>
      </c>
    </row>
    <row r="285" spans="1:16" ht="18.75" hidden="1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0</v>
      </c>
      <c r="M285" s="425">
        <f ca="1">M286+M287</f>
        <v>0</v>
      </c>
      <c r="N285" s="425">
        <f ca="1">N286+N287</f>
        <v>0</v>
      </c>
      <c r="O285" s="425">
        <f ca="1">IF(L285&gt;0,N285*100/L285,0)</f>
        <v>0</v>
      </c>
      <c r="P285" s="425">
        <f ca="1">IF(M285&gt;0,N285*100/M285,0)</f>
        <v>0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hidden="1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IFERROR(__xludf.DUMMYFUNCTION("IMPORTRANGE(""https://docs.google.com/spreadsheets/d/1-uDff_7J0KD5mKrp0Vvzr7lt3OU09vwQwhkpOPPYv2Y/edit?usp=sharing"",""งบพรบ!DO48"")"),0)</f>
        <v>0</v>
      </c>
      <c r="M287" s="425">
        <f ca="1">IFERROR(__xludf.DUMMYFUNCTION("IMPORTRANGE(""https://docs.google.com/spreadsheets/d/1-uDff_7J0KD5mKrp0Vvzr7lt3OU09vwQwhkpOPPYv2Y/edit?usp=sharing"",""งบพรบ!DT48"")"),0)</f>
        <v>0</v>
      </c>
      <c r="N287" s="425">
        <f ca="1">IFERROR(__xludf.DUMMYFUNCTION("IMPORTRANGE(""https://docs.google.com/spreadsheets/d/1-uDff_7J0KD5mKrp0Vvzr7lt3OU09vwQwhkpOPPYv2Y/edit?usp=sharing"",""งบพรบ!DV48"")"),0)</f>
        <v>0</v>
      </c>
      <c r="O287" s="425">
        <f ca="1">IF(L287&gt;0,N287*100/L287,0)</f>
        <v>0</v>
      </c>
      <c r="P287" s="425">
        <f ca="1">IF(M287&gt;0,N287*100/M287,0)</f>
        <v>0</v>
      </c>
    </row>
    <row r="288" spans="1:16" ht="18.75" hidden="1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hidden="1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IFERROR(__xludf.DUMMYFUNCTION("IMPORTRANGE(""https://docs.google.com/spreadsheets/d/1-uDff_7J0KD5mKrp0Vvzr7lt3OU09vwQwhkpOPPYv2Y/edit?usp=sharing"",""งบพรบ!DR48"")"),0)</f>
        <v>0</v>
      </c>
      <c r="M290" s="425">
        <f ca="1">IFERROR(__xludf.DUMMYFUNCTION("IMPORTRANGE(""https://docs.google.com/spreadsheets/d/1-uDff_7J0KD5mKrp0Vvzr7lt3OU09vwQwhkpOPPYv2Y/edit?usp=sharing"",""งบพรบ!DU48"")"),0)</f>
        <v>0</v>
      </c>
      <c r="N290" s="425">
        <f ca="1">IFERROR(__xludf.DUMMYFUNCTION("IMPORTRANGE(""https://docs.google.com/spreadsheets/d/1-uDff_7J0KD5mKrp0Vvzr7lt3OU09vwQwhkpOPPYv2Y/edit?usp=sharing"",""งบพรบ!DW48"")"),0)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hidden="1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hidden="1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IFERROR(__xludf.DUMMYFUNCTION("IMPORTRANGE(""https://docs.google.com/spreadsheets/d/1eHaY18a8A9IcSdp1K8H6x8fbOy06t2VsZHhMHf-1x7Y/edit?usp=sharing"",""แผน!EE48"")"),0)</f>
        <v>0</v>
      </c>
      <c r="J292" s="595">
        <v>0</v>
      </c>
      <c r="K292" s="621">
        <f ca="1">IF(I292&gt;0,J292*100/I292,0)</f>
        <v>0</v>
      </c>
      <c r="L292" s="525"/>
      <c r="M292" s="525"/>
      <c r="N292" s="525"/>
      <c r="O292" s="525"/>
      <c r="P292" s="525"/>
    </row>
    <row r="293" spans="1:16" ht="19.5" hidden="1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IFERROR(__xludf.DUMMYFUNCTION("IMPORTRANGE(""https://docs.google.com/spreadsheets/d/1eHaY18a8A9IcSdp1K8H6x8fbOy06t2VsZHhMHf-1x7Y/edit?usp=sharing"",""แผน!ED48"")"),0)</f>
        <v>0</v>
      </c>
      <c r="J293" s="625">
        <f>J296</f>
        <v>0</v>
      </c>
      <c r="K293" s="624">
        <f ca="1">IF(I293&gt;0,J293*100/I293,0)</f>
        <v>0</v>
      </c>
      <c r="L293" s="525"/>
      <c r="M293" s="525"/>
      <c r="N293" s="525"/>
      <c r="O293" s="525"/>
      <c r="P293" s="525"/>
    </row>
    <row r="294" spans="1:16" ht="19.5" hidden="1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hidden="1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IFERROR(__xludf.DUMMYFUNCTION("IMPORTRANGE(""https://docs.google.com/spreadsheets/d/1eHaY18a8A9IcSdp1K8H6x8fbOy06t2VsZHhMHf-1x7Y/edit?usp=sharing"",""แผน!ED48"")"),0)</f>
        <v>0</v>
      </c>
      <c r="J295" s="595">
        <v>0</v>
      </c>
      <c r="K295" s="621">
        <f ca="1">IF(I295&gt;0,J295*100/I295,0)</f>
        <v>0</v>
      </c>
      <c r="L295" s="525"/>
      <c r="M295" s="525"/>
      <c r="N295" s="525"/>
      <c r="O295" s="525"/>
      <c r="P295" s="525"/>
    </row>
    <row r="296" spans="1:16" ht="19.5" hidden="1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IFERROR(__xludf.DUMMYFUNCTION("IMPORTRANGE(""https://docs.google.com/spreadsheets/d/1eHaY18a8A9IcSdp1K8H6x8fbOy06t2VsZHhMHf-1x7Y/edit?usp=sharing"",""แผน!ED48"")"),0)</f>
        <v>0</v>
      </c>
      <c r="J296" s="595">
        <v>0</v>
      </c>
      <c r="K296" s="621">
        <f ca="1">IF(I296&gt;0,J296*100/I296,0)</f>
        <v>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hidden="1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hidden="1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hidden="1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0</v>
      </c>
      <c r="J302" s="598">
        <f>J314</f>
        <v>0</v>
      </c>
      <c r="K302" s="597">
        <f ca="1">IF(I302&gt;0,J302*100/I302,0)</f>
        <v>0</v>
      </c>
      <c r="L302" s="580"/>
      <c r="M302" s="580"/>
      <c r="N302" s="580"/>
      <c r="O302" s="580"/>
      <c r="P302" s="580"/>
    </row>
    <row r="303" spans="1:16" ht="19.5" hidden="1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0</v>
      </c>
      <c r="M303" s="577">
        <f ca="1">M304+M305</f>
        <v>0</v>
      </c>
      <c r="N303" s="577">
        <f ca="1">N304+N305</f>
        <v>0</v>
      </c>
      <c r="O303" s="577">
        <f ca="1">IF(L303&gt;0,N303*100/L303,0)</f>
        <v>0</v>
      </c>
      <c r="P303" s="577">
        <f ca="1">IF(M303&gt;0,N303*100/M303,0)</f>
        <v>0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hidden="1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0</v>
      </c>
      <c r="M305" s="425">
        <f ca="1">M308+M311</f>
        <v>0</v>
      </c>
      <c r="N305" s="425">
        <f ca="1">N308+N311</f>
        <v>0</v>
      </c>
      <c r="O305" s="425">
        <f ca="1">IF(L305&gt;0,N305*100/L305,0)</f>
        <v>0</v>
      </c>
      <c r="P305" s="425">
        <f ca="1">IF(M305&gt;0,N305*100/M305,0)</f>
        <v>0</v>
      </c>
    </row>
    <row r="306" spans="1:16" ht="18.75" hidden="1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0</v>
      </c>
      <c r="M306" s="425">
        <f ca="1">M307+M308</f>
        <v>0</v>
      </c>
      <c r="N306" s="425">
        <f ca="1">N307+N308</f>
        <v>0</v>
      </c>
      <c r="O306" s="425">
        <f ca="1">IF(L306&gt;0,N306*100/L306,0)</f>
        <v>0</v>
      </c>
      <c r="P306" s="425">
        <f ca="1">IF(M306&gt;0,N306*100/M306,0)</f>
        <v>0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hidden="1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IFERROR(__xludf.DUMMYFUNCTION("IMPORTRANGE(""https://docs.google.com/spreadsheets/d/1-uDff_7J0KD5mKrp0Vvzr7lt3OU09vwQwhkpOPPYv2Y/edit?usp=sharing"",""งบพรบ!DY48"")"),0)</f>
        <v>0</v>
      </c>
      <c r="M308" s="425">
        <f ca="1">IFERROR(__xludf.DUMMYFUNCTION("IMPORTRANGE(""https://docs.google.com/spreadsheets/d/1-uDff_7J0KD5mKrp0Vvzr7lt3OU09vwQwhkpOPPYv2Y/edit?usp=sharing"",""งบพรบ!ED48"")"),0)</f>
        <v>0</v>
      </c>
      <c r="N308" s="425">
        <f ca="1">IFERROR(__xludf.DUMMYFUNCTION("IMPORTRANGE(""https://docs.google.com/spreadsheets/d/1-uDff_7J0KD5mKrp0Vvzr7lt3OU09vwQwhkpOPPYv2Y/edit?usp=sharing"",""งบพรบ!EF48"")"),0)</f>
        <v>0</v>
      </c>
      <c r="O308" s="425">
        <f ca="1">IF(L308&gt;0,N308*100/L308,0)</f>
        <v>0</v>
      </c>
      <c r="P308" s="425">
        <f ca="1">IF(M308&gt;0,N308*100/M308,0)</f>
        <v>0</v>
      </c>
    </row>
    <row r="309" spans="1:16" ht="18.75" hidden="1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hidden="1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IFERROR(__xludf.DUMMYFUNCTION("IMPORTRANGE(""https://docs.google.com/spreadsheets/d/1-uDff_7J0KD5mKrp0Vvzr7lt3OU09vwQwhkpOPPYv2Y/edit?usp=sharing"",""งบพรบ!EB48"")"),0)</f>
        <v>0</v>
      </c>
      <c r="M311" s="425">
        <f ca="1">IFERROR(__xludf.DUMMYFUNCTION("IMPORTRANGE(""https://docs.google.com/spreadsheets/d/1-uDff_7J0KD5mKrp0Vvzr7lt3OU09vwQwhkpOPPYv2Y/edit?usp=sharing"",""งบพรบ!EE48"")"),0)</f>
        <v>0</v>
      </c>
      <c r="N311" s="425">
        <f ca="1">IFERROR(__xludf.DUMMYFUNCTION("IMPORTRANGE(""https://docs.google.com/spreadsheets/d/1-uDff_7J0KD5mKrp0Vvzr7lt3OU09vwQwhkpOPPYv2Y/edit?usp=sharing"",""งบพรบ!EG48"")"),0)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hidden="1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hidden="1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0</v>
      </c>
      <c r="K313" s="428"/>
      <c r="L313" s="428"/>
      <c r="M313" s="428"/>
      <c r="N313" s="428"/>
      <c r="O313" s="428"/>
      <c r="P313" s="428"/>
    </row>
    <row r="314" spans="1:16" ht="18.75" hidden="1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IFERROR(__xludf.DUMMYFUNCTION("IMPORTRANGE(""https://docs.google.com/spreadsheets/d/1eHaY18a8A9IcSdp1K8H6x8fbOy06t2VsZHhMHf-1x7Y/edit?usp=sharing"",""แผน!EF48"")"),0)</f>
        <v>0</v>
      </c>
      <c r="J314" s="595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hidden="1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IFERROR(__xludf.DUMMYFUNCTION("IMPORTRANGE(""https://docs.google.com/spreadsheets/d/1eHaY18a8A9IcSdp1K8H6x8fbOy06t2VsZHhMHf-1x7Y/edit?usp=sharing"",""แผน!EG48"")"),0)</f>
        <v>0</v>
      </c>
      <c r="J315" s="595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hidden="1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IFERROR(__xludf.DUMMYFUNCTION("IMPORTRANGE(""https://docs.google.com/spreadsheets/d/1eHaY18a8A9IcSdp1K8H6x8fbOy06t2VsZHhMHf-1x7Y/edit?usp=sharing"",""แผน!EH48"")"),0)</f>
        <v>0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199">
        <f ca="1">IFERROR(__xludf.DUMMYFUNCTION("IMPORTRANGE(""https://docs.google.com/spreadsheets/d/1eHaY18a8A9IcSdp1K8H6x8fbOy06t2VsZHhMHf-1x7Y/edit?usp=sharing"",""แผน!EI48"")"),0)</f>
        <v>0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hidden="1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0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hidden="1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0</v>
      </c>
      <c r="M320" s="577">
        <f ca="1">M321+M322</f>
        <v>0</v>
      </c>
      <c r="N320" s="577">
        <f ca="1">N321+N322</f>
        <v>0</v>
      </c>
      <c r="O320" s="577">
        <f ca="1">IF(L320&gt;0,N320*100/L320,0)</f>
        <v>0</v>
      </c>
      <c r="P320" s="577">
        <f ca="1">IF(M320&gt;0,N320*100/M320,0)</f>
        <v>0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hidden="1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hidden="1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IFERROR(__xludf.DUMMYFUNCTION("IMPORTRANGE(""https://docs.google.com/spreadsheets/d/1-uDff_7J0KD5mKrp0Vvzr7lt3OU09vwQwhkpOPPYv2Y/edit?usp=sharing"",""งบพรบ!EI48"")"),0)</f>
        <v>0</v>
      </c>
      <c r="M325" s="425">
        <f ca="1">IFERROR(__xludf.DUMMYFUNCTION("IMPORTRANGE(""https://docs.google.com/spreadsheets/d/1-uDff_7J0KD5mKrp0Vvzr7lt3OU09vwQwhkpOPPYv2Y/edit?usp=sharing"",""งบพรบ!EN48"")"),0)</f>
        <v>0</v>
      </c>
      <c r="N325" s="425">
        <f ca="1">IFERROR(__xludf.DUMMYFUNCTION("IMPORTRANGE(""https://docs.google.com/spreadsheets/d/1-uDff_7J0KD5mKrp0Vvzr7lt3OU09vwQwhkpOPPYv2Y/edit?usp=sharing"",""งบพรบ!EP48"")"),0)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hidden="1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IFERROR(__xludf.DUMMYFUNCTION("IMPORTRANGE(""https://docs.google.com/spreadsheets/d/1-uDff_7J0KD5mKrp0Vvzr7lt3OU09vwQwhkpOPPYv2Y/edit?usp=sharing"",""งบพรบ!EL48"")"),0)</f>
        <v>0</v>
      </c>
      <c r="M328" s="425">
        <f ca="1">IFERROR(__xludf.DUMMYFUNCTION("IMPORTRANGE(""https://docs.google.com/spreadsheets/d/1-uDff_7J0KD5mKrp0Vvzr7lt3OU09vwQwhkpOPPYv2Y/edit?usp=sharing"",""งบพรบ!EO48"")"),0)</f>
        <v>0</v>
      </c>
      <c r="N328" s="425">
        <f ca="1">IFERROR(__xludf.DUMMYFUNCTION("IMPORTRANGE(""https://docs.google.com/spreadsheets/d/1-uDff_7J0KD5mKrp0Vvzr7lt3OU09vwQwhkpOPPYv2Y/edit?usp=sharing"",""งบพรบ!EQ48"")"),0)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hidden="1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IFERROR(__xludf.DUMMYFUNCTION("IMPORTRANGE(""https://docs.google.com/spreadsheets/d/1eHaY18a8A9IcSdp1K8H6x8fbOy06t2VsZHhMHf-1x7Y/edit?usp=sharing"",""แผน!EJ48"")"),0)</f>
        <v>0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3060</v>
      </c>
      <c r="J332" s="402">
        <f ca="1">J344+J347+J348+J349+J353</f>
        <v>2302</v>
      </c>
      <c r="K332" s="403">
        <f ca="1">IF(I332&gt;0,J332*100/I332,0)</f>
        <v>75.228758169934636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111000</v>
      </c>
      <c r="M333" s="577">
        <f ca="1">M334+M335</f>
        <v>88150</v>
      </c>
      <c r="N333" s="577">
        <f ca="1">N334+N335</f>
        <v>25935</v>
      </c>
      <c r="O333" s="577">
        <f ca="1">IF(L333&gt;0,N333*100/L333,0)</f>
        <v>23.364864864864863</v>
      </c>
      <c r="P333" s="577">
        <f ca="1">IF(M333&gt;0,N333*100/M333,0)</f>
        <v>29.421440726035168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111000</v>
      </c>
      <c r="M335" s="425">
        <f ca="1">M338+M341</f>
        <v>88150</v>
      </c>
      <c r="N335" s="425">
        <f ca="1">N338+N341</f>
        <v>25935</v>
      </c>
      <c r="O335" s="425">
        <f ca="1">IF(L335&gt;0,N335*100/L335,0)</f>
        <v>23.364864864864863</v>
      </c>
      <c r="P335" s="425">
        <f ca="1">IF(M335&gt;0,N335*100/M335,0)</f>
        <v>29.421440726035168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111000</v>
      </c>
      <c r="M336" s="425">
        <f ca="1">M337+M338</f>
        <v>88150</v>
      </c>
      <c r="N336" s="425">
        <f ca="1">N337+N338</f>
        <v>25935</v>
      </c>
      <c r="O336" s="425">
        <f ca="1">IF(L336&gt;0,N336*100/L336,0)</f>
        <v>23.364864864864863</v>
      </c>
      <c r="P336" s="425">
        <f ca="1">IF(M336&gt;0,N336*100/M336,0)</f>
        <v>29.421440726035168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IFERROR(__xludf.DUMMYFUNCTION("IMPORTRANGE(""https://docs.google.com/spreadsheets/d/1-uDff_7J0KD5mKrp0Vvzr7lt3OU09vwQwhkpOPPYv2Y/edit?usp=sharing"",""งบพรบ!ES48"")"),111000)</f>
        <v>111000</v>
      </c>
      <c r="M338" s="425">
        <f ca="1">IFERROR(__xludf.DUMMYFUNCTION("IMPORTRANGE(""https://docs.google.com/spreadsheets/d/1-uDff_7J0KD5mKrp0Vvzr7lt3OU09vwQwhkpOPPYv2Y/edit?usp=sharing"",""งบพรบ!EX48"")"),88150)</f>
        <v>88150</v>
      </c>
      <c r="N338" s="425">
        <f ca="1">IFERROR(__xludf.DUMMYFUNCTION("IMPORTRANGE(""https://docs.google.com/spreadsheets/d/1-uDff_7J0KD5mKrp0Vvzr7lt3OU09vwQwhkpOPPYv2Y/edit?usp=sharing"",""งบพรบ!EZ48"")"),25935)</f>
        <v>25935</v>
      </c>
      <c r="O338" s="425">
        <f ca="1">IF(L338&gt;0,N338*100/L338,0)</f>
        <v>23.364864864864863</v>
      </c>
      <c r="P338" s="425">
        <f ca="1">IF(M338&gt;0,N338*100/M338,0)</f>
        <v>29.421440726035168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IFERROR(__xludf.DUMMYFUNCTION("IMPORTRANGE(""https://docs.google.com/spreadsheets/d/1-uDff_7J0KD5mKrp0Vvzr7lt3OU09vwQwhkpOPPYv2Y/edit?usp=sharing"",""งบพรบ!EV48"")"),0)</f>
        <v>0</v>
      </c>
      <c r="M341" s="425">
        <f ca="1">IFERROR(__xludf.DUMMYFUNCTION("IMPORTRANGE(""https://docs.google.com/spreadsheets/d/1-uDff_7J0KD5mKrp0Vvzr7lt3OU09vwQwhkpOPPYv2Y/edit?usp=sharing"",""งบพรบ!EY48"")"),0)</f>
        <v>0</v>
      </c>
      <c r="N341" s="425">
        <f ca="1">IFERROR(__xludf.DUMMYFUNCTION("IMPORTRANGE(""https://docs.google.com/spreadsheets/d/1-uDff_7J0KD5mKrp0Vvzr7lt3OU09vwQwhkpOPPYv2Y/edit?usp=sharing"",""งบพรบ!FA48"")"),0)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1061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IFERROR(__xludf.DUMMYFUNCTION("IMPORTRANGE(""https://docs.google.com/spreadsheets/d/1eHaY18a8A9IcSdp1K8H6x8fbOy06t2VsZHhMHf-1x7Y/edit?usp=sharing"",""แผน!EK48"")"),3060)</f>
        <v>3060</v>
      </c>
      <c r="J344" s="424">
        <f ca="1">IFERROR(__xludf.DUMMYFUNCTION("IMPORTRANGE(""https://docs.google.com/spreadsheets/d/1awYsYK3VOup2i3Pq_Yjnu8DRu_mYwSBnCR2QPthd0rU/edit?usp=sharing"",""ศูนย์ยกเว้นโฉนด!D48"")"),1060)</f>
        <v>1060</v>
      </c>
      <c r="K344" s="425">
        <f ca="1">IF(I344&gt;0,J344*100/I344,0)</f>
        <v>34.640522875816991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IFERROR(__xludf.DUMMYFUNCTION("IMPORTRANGE(""https://docs.google.com/spreadsheets/d/1eHaY18a8A9IcSdp1K8H6x8fbOy06t2VsZHhMHf-1x7Y/edit?usp=sharing"",""แผน!EL48"")"),4)</f>
        <v>4</v>
      </c>
      <c r="J346" s="424">
        <f ca="1">IFERROR(__xludf.DUMMYFUNCTION("IMPORTRANGE(""https://docs.google.com/spreadsheets/d/1awYsYK3VOup2i3Pq_Yjnu8DRu_mYwSBnCR2QPthd0rU/edit?usp=sharing"",""ศูนย์รวม!E48"")"),0)</f>
        <v>0</v>
      </c>
      <c r="K346" s="425">
        <f ca="1">IF(I346&gt;0,J346*100/I346,0)</f>
        <v>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IFERROR(__xludf.DUMMYFUNCTION("IMPORTRANGE(""https://docs.google.com/spreadsheets/d/1awYsYK3VOup2i3Pq_Yjnu8DRu_mYwSBnCR2QPthd0rU/edit?usp=sharing"",""ศูนย์ยกเว้นโฉนด!F48"")"),1)</f>
        <v>1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IFERROR(__xludf.DUMMYFUNCTION("IMPORTRANGE(""https://docs.google.com/spreadsheets/d/1awYsYK3VOup2i3Pq_Yjnu8DRu_mYwSBnCR2QPthd0rU/edit?usp=sharing"",""ศูนย์ยกเว้นโฉนด!G48"")"),0)</f>
        <v>0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IFERROR(__xludf.DUMMYFUNCTION("IMPORTRANGE(""https://docs.google.com/spreadsheets/d/1awYsYK3VOup2i3Pq_Yjnu8DRu_mYwSBnCR2QPthd0rU/edit?usp=sharing"",""ศูนย์ยกเว้นโฉนด!H48"")"),0)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1841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IFERROR(__xludf.DUMMYFUNCTION("IMPORTRANGE(""https://docs.google.com/spreadsheets/d/1awYsYK3VOup2i3Pq_Yjnu8DRu_mYwSBnCR2QPthd0rU/edit?usp=sharing"",""โฉนดM3!G48"")"),600)</f>
        <v>600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IFERROR(__xludf.DUMMYFUNCTION("IMPORTRANGE(""https://docs.google.com/spreadsheets/d/1awYsYK3VOup2i3Pq_Yjnu8DRu_mYwSBnCR2QPthd0rU/edit?usp=sharing"",""โฉนดM3!H48"")"),1241)</f>
        <v>1241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561010</v>
      </c>
      <c r="M356" s="577">
        <f ca="1">M357+M358</f>
        <v>466330</v>
      </c>
      <c r="N356" s="577">
        <f ca="1">N357+N358</f>
        <v>227964.99</v>
      </c>
      <c r="O356" s="577">
        <f ca="1">IF(L356&gt;0,N356*100/L356,0)</f>
        <v>40.634746261207468</v>
      </c>
      <c r="P356" s="577">
        <f ca="1">IF(M356&gt;0,N356*100/M356,0)</f>
        <v>48.884907683400165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561010</v>
      </c>
      <c r="M358" s="425">
        <f ca="1">M361+M364</f>
        <v>466330</v>
      </c>
      <c r="N358" s="425">
        <f ca="1">N361+N364</f>
        <v>227964.99</v>
      </c>
      <c r="O358" s="425">
        <f ca="1">IF(L358&gt;0,N358*100/L358,0)</f>
        <v>40.634746261207468</v>
      </c>
      <c r="P358" s="425">
        <f ca="1">IF(M358&gt;0,N358*100/M358,0)</f>
        <v>48.884907683400165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561010</v>
      </c>
      <c r="M359" s="425">
        <f ca="1">M360+M361</f>
        <v>466330</v>
      </c>
      <c r="N359" s="425">
        <f ca="1">N360+N361</f>
        <v>227964.99</v>
      </c>
      <c r="O359" s="425">
        <f ca="1">IF(L359&gt;0,N359*100/L359,0)</f>
        <v>40.634746261207468</v>
      </c>
      <c r="P359" s="425">
        <f ca="1">IF(M359&gt;0,N359*100/M359,0)</f>
        <v>48.884907683400165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IFERROR(__xludf.DUMMYFUNCTION("IMPORTRANGE(""https://docs.google.com/spreadsheets/d/1-uDff_7J0KD5mKrp0Vvzr7lt3OU09vwQwhkpOPPYv2Y/edit?usp=sharing"",""งบพรบ!FC48"")"),561010)</f>
        <v>561010</v>
      </c>
      <c r="M361" s="425">
        <f ca="1">IFERROR(__xludf.DUMMYFUNCTION("IMPORTRANGE(""https://docs.google.com/spreadsheets/d/1-uDff_7J0KD5mKrp0Vvzr7lt3OU09vwQwhkpOPPYv2Y/edit?usp=sharing"",""งบพรบ!FH48"")"),466330)</f>
        <v>466330</v>
      </c>
      <c r="N361" s="425">
        <f ca="1">IFERROR(__xludf.DUMMYFUNCTION("IMPORTRANGE(""https://docs.google.com/spreadsheets/d/1-uDff_7J0KD5mKrp0Vvzr7lt3OU09vwQwhkpOPPYv2Y/edit?usp=sharing"",""งบพรบ!FJ48"")"),227964.99)</f>
        <v>227964.99</v>
      </c>
      <c r="O361" s="425">
        <f ca="1">IF(L361&gt;0,N361*100/L361,0)</f>
        <v>40.634746261207468</v>
      </c>
      <c r="P361" s="425">
        <f ca="1">IF(M361&gt;0,N361*100/M361,0)</f>
        <v>48.884907683400165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IFERROR(__xludf.DUMMYFUNCTION("IMPORTRANGE(""https://docs.google.com/spreadsheets/d/1-uDff_7J0KD5mKrp0Vvzr7lt3OU09vwQwhkpOPPYv2Y/edit?usp=sharing"",""งบพรบ!FF48"")"),0)</f>
        <v>0</v>
      </c>
      <c r="M364" s="425">
        <f ca="1">IFERROR(__xludf.DUMMYFUNCTION("IMPORTRANGE(""https://docs.google.com/spreadsheets/d/1-uDff_7J0KD5mKrp0Vvzr7lt3OU09vwQwhkpOPPYv2Y/edit?usp=sharing"",""งบพรบ!FI48"")"),0)</f>
        <v>0</v>
      </c>
      <c r="N364" s="425">
        <f ca="1">IFERROR(__xludf.DUMMYFUNCTION("IMPORTRANGE(""https://docs.google.com/spreadsheets/d/1-uDff_7J0KD5mKrp0Vvzr7lt3OU09vwQwhkpOPPYv2Y/edit?usp=sharing"",""งบพรบ!FK48"")"),0)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188</v>
      </c>
      <c r="J365" s="438">
        <f ca="1">J371</f>
        <v>90</v>
      </c>
      <c r="K365" s="439">
        <f ca="1">IF(I365&gt;0,J365*100/I365,0)</f>
        <v>47.872340425531917</v>
      </c>
      <c r="L365" s="571"/>
      <c r="M365" s="571"/>
      <c r="N365" s="571"/>
      <c r="O365" s="571"/>
      <c r="P365" s="571"/>
    </row>
    <row r="366" spans="1:16" ht="19.5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IFERROR(__xludf.DUMMYFUNCTION("IMPORTRANGE(""https://docs.google.com/spreadsheets/d/1tdoBKaGub7dwA3U6UFTqxio9LNnvDCQjHKmttSEBsFQ/edit?usp=sharing"",""จัดที่ดิน!AB48"")"),69)</f>
        <v>69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IFERROR(__xludf.DUMMYFUNCTION("IMPORTRANGE(""https://docs.google.com/spreadsheets/d/1eHaY18a8A9IcSdp1K8H6x8fbOy06t2VsZHhMHf-1x7Y/edit?usp=sharing"",""แผน!EW48"")"),1645)</f>
        <v>1645</v>
      </c>
      <c r="J368" s="565">
        <f ca="1">IFERROR(__xludf.DUMMYFUNCTION("IMPORTRANGE(""https://docs.google.com/spreadsheets/d/1tdoBKaGub7dwA3U6UFTqxio9LNnvDCQjHKmttSEBsFQ/edit?usp=sharing"",""จัดที่ดิน!AC48"")"),855.72)</f>
        <v>855.72</v>
      </c>
      <c r="K368" s="425">
        <f ca="1">IF(I368&gt;0,J368*100/I368,0)</f>
        <v>52.019452887537994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IFERROR(__xludf.DUMMYFUNCTION("IMPORTRANGE(""https://docs.google.com/spreadsheets/d/1eHaY18a8A9IcSdp1K8H6x8fbOy06t2VsZHhMHf-1x7Y/edit?usp=sharing"",""แผน!EX48"")"),284)</f>
        <v>284</v>
      </c>
      <c r="J369" s="424">
        <f ca="1">IFERROR(__xludf.DUMMYFUNCTION("IMPORTRANGE(""https://docs.google.com/spreadsheets/d/1tdoBKaGub7dwA3U6UFTqxio9LNnvDCQjHKmttSEBsFQ/edit?usp=sharing"",""จัดที่ดิน!AD48"")"),90)</f>
        <v>90</v>
      </c>
      <c r="K369" s="425">
        <f ca="1">IF(I369&gt;0,J369*100/I369,0)</f>
        <v>31.690140845070424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IFERROR(__xludf.DUMMYFUNCTION("IMPORTRANGE(""https://docs.google.com/spreadsheets/d/1tdoBKaGub7dwA3U6UFTqxio9LNnvDCQjHKmttSEBsFQ/edit?usp=sharing"",""จัดที่ดิน!AE48"")"),1450.12)</f>
        <v>1450.12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IFERROR(__xludf.DUMMYFUNCTION("IMPORTRANGE(""https://docs.google.com/spreadsheets/d/1eHaY18a8A9IcSdp1K8H6x8fbOy06t2VsZHhMHf-1x7Y/edit?usp=sharing"",""แผน!EY48"")"),188)</f>
        <v>188</v>
      </c>
      <c r="J371" s="424">
        <f ca="1">IFERROR(__xludf.DUMMYFUNCTION("IMPORTRANGE(""https://docs.google.com/spreadsheets/d/1tdoBKaGub7dwA3U6UFTqxio9LNnvDCQjHKmttSEBsFQ/edit?usp=sharing"",""จัดที่ดิน!AF48"")"),90)</f>
        <v>90</v>
      </c>
      <c r="K371" s="425">
        <f ca="1">IF(I371&gt;0,J371*100/I371,0)</f>
        <v>47.872340425531917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IFERROR(__xludf.DUMMYFUNCTION("IMPORTRANGE(""https://docs.google.com/spreadsheets/d/1tdoBKaGub7dwA3U6UFTqxio9LNnvDCQjHKmttSEBsFQ/edit?usp=sharing"",""จัดที่ดิน!AG48"")"),1450.12)</f>
        <v>1450.12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IFERROR(__xludf.DUMMYFUNCTION("IMPORTRANGE(""https://docs.google.com/spreadsheets/d/1-uDff_7J0KD5mKrp0Vvzr7lt3OU09vwQwhkpOPPYv2Y/edit?usp=sharing"",""งบพรบ!FM48"")"),0)</f>
        <v>0</v>
      </c>
      <c r="M382" s="521">
        <f ca="1">IFERROR(__xludf.DUMMYFUNCTION("IMPORTRANGE(""https://docs.google.com/spreadsheets/d/1-uDff_7J0KD5mKrp0Vvzr7lt3OU09vwQwhkpOPPYv2Y/edit?usp=sharing"",""งบพรบ!FR48"")"),0)</f>
        <v>0</v>
      </c>
      <c r="N382" s="521">
        <f ca="1">IFERROR(__xludf.DUMMYFUNCTION("IMPORTRANGE(""https://docs.google.com/spreadsheets/d/1-uDff_7J0KD5mKrp0Vvzr7lt3OU09vwQwhkpOPPYv2Y/edit?usp=sharing"",""งบพรบ!FT48"")"),0)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IFERROR(__xludf.DUMMYFUNCTION("IMPORTRANGE(""https://docs.google.com/spreadsheets/d/1-uDff_7J0KD5mKrp0Vvzr7lt3OU09vwQwhkpOPPYv2Y/edit?usp=sharing"",""งบพรบ!FP48"")"),0)</f>
        <v>0</v>
      </c>
      <c r="M385" s="521">
        <f ca="1">IFERROR(__xludf.DUMMYFUNCTION("IMPORTRANGE(""https://docs.google.com/spreadsheets/d/1-uDff_7J0KD5mKrp0Vvzr7lt3OU09vwQwhkpOPPYv2Y/edit?usp=sharing"",""งบพรบ!FS48"")"),0)</f>
        <v>0</v>
      </c>
      <c r="N385" s="521">
        <f ca="1">IFERROR(__xludf.DUMMYFUNCTION("IMPORTRANGE(""https://docs.google.com/spreadsheets/d/1-uDff_7J0KD5mKrp0Vvzr7lt3OU09vwQwhkpOPPYv2Y/edit?usp=sharing"",""งบพรบ!FU48"")"),0)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D3744-AFB8-4639-B1B8-DA0AA36F3FEF}">
  <sheetPr>
    <outlinePr summaryBelow="0" summaryRight="0"/>
    <pageSetUpPr fitToPage="1"/>
  </sheetPr>
  <dimension ref="A1:P391"/>
  <sheetViews>
    <sheetView view="pageBreakPreview" zoomScale="60" zoomScaleNormal="70" workbookViewId="0">
      <pane xSplit="8" ySplit="17" topLeftCell="I18" activePane="bottomRight" state="frozen"/>
      <selection activeCell="H27" sqref="H27"/>
      <selection pane="topRight" activeCell="H27" sqref="H27"/>
      <selection pane="bottomLeft" activeCell="H27" sqref="H27"/>
      <selection pane="bottomRight" activeCell="H27" sqref="H27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5.140625" customWidth="1"/>
    <col min="11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869" t="s">
        <v>0</v>
      </c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  <c r="O1" s="869"/>
      <c r="P1" s="869"/>
    </row>
    <row r="2" spans="1:16" ht="19.5" x14ac:dyDescent="0.3">
      <c r="A2" s="869" t="s">
        <v>178</v>
      </c>
      <c r="B2" s="869"/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  <c r="P2" s="869"/>
    </row>
    <row r="3" spans="1:16" ht="19.5" x14ac:dyDescent="0.3">
      <c r="A3" s="869" t="str">
        <f ca="1">IFERROR(__xludf.DUMMYFUNCTION("IMPORTRANGE(""https://docs.google.com/spreadsheets/d/1gNPQPjxUj63ZZXIIIm2aX4x3w7PhAZpC9JuXdbpWwUQ/edit?usp=sharing"",""Sheet1!b1"")"),"ข้อมูล ณ 28 ธ.ค. 66")</f>
        <v>ข้อมูล ณ 28 ธ.ค. 66</v>
      </c>
      <c r="B3" s="869"/>
      <c r="C3" s="869"/>
      <c r="D3" s="869"/>
      <c r="E3" s="869"/>
      <c r="F3" s="869"/>
      <c r="G3" s="869"/>
      <c r="H3" s="869"/>
      <c r="I3" s="869"/>
      <c r="J3" s="869"/>
      <c r="K3" s="869"/>
      <c r="L3" s="869"/>
      <c r="M3" s="869"/>
      <c r="N3" s="869"/>
      <c r="O3" s="869"/>
      <c r="P3" s="869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5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493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1617895</v>
      </c>
      <c r="M18" s="704">
        <f ca="1">M19+M20</f>
        <v>1340095</v>
      </c>
      <c r="N18" s="704">
        <f ca="1">N19+N20</f>
        <v>355182.66000000003</v>
      </c>
      <c r="O18" s="704">
        <f ca="1">IF(L18&gt;0,N18*100/L18,0)</f>
        <v>21.953381399905432</v>
      </c>
      <c r="P18" s="704">
        <f ca="1">IF(M18&gt;0,N18*100/M18,0)</f>
        <v>26.504289621258195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1617895</v>
      </c>
      <c r="M20" s="817">
        <f ca="1">M23+M26</f>
        <v>1340095</v>
      </c>
      <c r="N20" s="817">
        <f ca="1">N23+N26</f>
        <v>355182.66000000003</v>
      </c>
      <c r="O20" s="817">
        <f ca="1">IF(L20&gt;0,N20*100/L20,0)</f>
        <v>21.953381399905432</v>
      </c>
      <c r="P20" s="817">
        <f ca="1">IF(M20&gt;0,N20*100/M20,0)</f>
        <v>26.504289621258195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1617895</v>
      </c>
      <c r="M21" s="425">
        <f ca="1">M22+M23</f>
        <v>1340095</v>
      </c>
      <c r="N21" s="425">
        <f ca="1">N22+N23</f>
        <v>355182.66000000003</v>
      </c>
      <c r="O21" s="425">
        <f ca="1">IF(L21&gt;0,N21*100/L21,0)</f>
        <v>21.953381399905432</v>
      </c>
      <c r="P21" s="425">
        <f ca="1">IF(M21&gt;0,N21*100/M21,0)</f>
        <v>26.504289621258195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1617895</v>
      </c>
      <c r="M23" s="425">
        <f ca="1">M49+M64+M77+M99+M130+M144+M162+M191+M178+M271+M287+M308+M325+M338+M361+M382</f>
        <v>1340095</v>
      </c>
      <c r="N23" s="425">
        <f ca="1">N49+N64+N77+N99+N130+N144+N162+N191+N178+N271+N287+N308+N325+N338+N361+N382</f>
        <v>355182.66000000003</v>
      </c>
      <c r="O23" s="425">
        <f ca="1">IF(L23&gt;0,N23*100/L23,0)</f>
        <v>21.953381399905432</v>
      </c>
      <c r="P23" s="425">
        <f ca="1">IF(M23&gt;0,N23*100/M23,0)</f>
        <v>26.504289621258195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2.75" hidden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1617895</v>
      </c>
      <c r="M40" s="809">
        <f ca="1">M44+M59+M72+M94+M125+M139+M157+M173+M186+M266+M282+M303+M320+M333+M356</f>
        <v>1340095</v>
      </c>
      <c r="N40" s="809">
        <f ca="1">N44+N59+N72+N94+N125+N139+N157+N173+N186+N266+N282+N303+N320+N333+N356</f>
        <v>355182.66000000003</v>
      </c>
      <c r="O40" s="809">
        <f ca="1">IF(L40&gt;0,N40*100/L40,0)</f>
        <v>21.953381399905432</v>
      </c>
      <c r="P40" s="809">
        <f ca="1">IF(M40&gt;0,N40*100/M40,0)</f>
        <v>26.504289621258195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293500</v>
      </c>
      <c r="M44" s="794">
        <f ca="1">M45+M46</f>
        <v>293500</v>
      </c>
      <c r="N44" s="794">
        <f ca="1">N45+N46</f>
        <v>92000</v>
      </c>
      <c r="O44" s="794">
        <f ca="1">IF(L44&gt;0,N44*100/L44,0)</f>
        <v>31.345826235093696</v>
      </c>
      <c r="P44" s="794">
        <f ca="1">IF(M44&gt;0,N44*100/M44,0)</f>
        <v>31.345826235093696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293500</v>
      </c>
      <c r="M46" s="783">
        <f ca="1">M49+M52</f>
        <v>293500</v>
      </c>
      <c r="N46" s="783">
        <f ca="1">N49+N52</f>
        <v>92000</v>
      </c>
      <c r="O46" s="783">
        <f ca="1">IF(L46&gt;0,N46*100/L46,0)</f>
        <v>31.345826235093696</v>
      </c>
      <c r="P46" s="783">
        <f ca="1">IF(M46&gt;0,N46*100/M46,0)</f>
        <v>31.345826235093696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293500</v>
      </c>
      <c r="M47" s="425">
        <f ca="1">M48+M49</f>
        <v>293500</v>
      </c>
      <c r="N47" s="425">
        <f ca="1">N48+N49</f>
        <v>92000</v>
      </c>
      <c r="O47" s="425">
        <f ca="1">IF(L47&gt;0,N47*100/L47,0)</f>
        <v>31.345826235093696</v>
      </c>
      <c r="P47" s="425">
        <f ca="1">IF(M47&gt;0,N47*100/M47,0)</f>
        <v>31.345826235093696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IFERROR(__xludf.DUMMYFUNCTION("IMPORTRANGE(""https://docs.google.com/spreadsheets/d/1-uDff_7J0KD5mKrp0Vvzr7lt3OU09vwQwhkpOPPYv2Y/edit?usp=sharing"",""งบพรบ!P49"")"),293500)</f>
        <v>293500</v>
      </c>
      <c r="M49" s="425">
        <f ca="1">IFERROR(__xludf.DUMMYFUNCTION("IMPORTRANGE(""https://docs.google.com/spreadsheets/d/1-uDff_7J0KD5mKrp0Vvzr7lt3OU09vwQwhkpOPPYv2Y/edit?usp=sharing"",""งบพรบ!V49"")"),293500)</f>
        <v>293500</v>
      </c>
      <c r="N49" s="425">
        <f ca="1">IFERROR(__xludf.DUMMYFUNCTION("IMPORTRANGE(""https://docs.google.com/spreadsheets/d/1-uDff_7J0KD5mKrp0Vvzr7lt3OU09vwQwhkpOPPYv2Y/edit?usp=sharing"",""งบพรบ!Y49"")"),92000)</f>
        <v>92000</v>
      </c>
      <c r="O49" s="425">
        <f ca="1">IF(L49&gt;0,N49*100/L49,0)</f>
        <v>31.345826235093696</v>
      </c>
      <c r="P49" s="425">
        <f ca="1">IF(M49&gt;0,N49*100/M49,0)</f>
        <v>31.345826235093696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IFERROR(__xludf.DUMMYFUNCTION("IMPORTRANGE(""https://docs.google.com/spreadsheets/d/1-uDff_7J0KD5mKrp0Vvzr7lt3OU09vwQwhkpOPPYv2Y/edit?usp=sharing"",""งบพรบ!S49"")"),0)</f>
        <v>0</v>
      </c>
      <c r="M52" s="425">
        <f ca="1">IFERROR(__xludf.DUMMYFUNCTION("IMPORTRANGE(""https://docs.google.com/spreadsheets/d/1-uDff_7J0KD5mKrp0Vvzr7lt3OU09vwQwhkpOPPYv2Y/edit?usp=sharing"",""งบพรบ!W49"")"),0)</f>
        <v>0</v>
      </c>
      <c r="N52" s="425">
        <f ca="1">IFERROR(__xludf.DUMMYFUNCTION("IMPORTRANGE(""https://docs.google.com/spreadsheets/d/1-uDff_7J0KD5mKrp0Vvzr7lt3OU09vwQwhkpOPPYv2Y/edit?usp=sharing"",""งบพรบ!Z49"")"),0)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449200</v>
      </c>
      <c r="M59" s="763">
        <f ca="1">M60+M61</f>
        <v>338850</v>
      </c>
      <c r="N59" s="763">
        <f ca="1">N60+N61</f>
        <v>133372.66</v>
      </c>
      <c r="O59" s="763">
        <f ca="1">IF(L59&gt;0,N59*100/L59,0)</f>
        <v>29.691153161175421</v>
      </c>
      <c r="P59" s="763">
        <f ca="1">IF(M59&gt;0,N59*100/M59,0)</f>
        <v>39.360383650582854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449200</v>
      </c>
      <c r="M61" s="752">
        <f ca="1">M64+M67</f>
        <v>338850</v>
      </c>
      <c r="N61" s="752">
        <f ca="1">N64+N67</f>
        <v>133372.66</v>
      </c>
      <c r="O61" s="752">
        <f ca="1">IF(L61&gt;0,N61*100/L61,0)</f>
        <v>29.691153161175421</v>
      </c>
      <c r="P61" s="752">
        <f ca="1">IF(M61&gt;0,N61*100/M61,0)</f>
        <v>39.360383650582854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449200</v>
      </c>
      <c r="M62" s="425">
        <f ca="1">M63+M64</f>
        <v>338850</v>
      </c>
      <c r="N62" s="425">
        <f ca="1">N63+N64</f>
        <v>133372.66</v>
      </c>
      <c r="O62" s="425">
        <f ca="1">IF(L62&gt;0,N62*100/L62,0)</f>
        <v>29.691153161175421</v>
      </c>
      <c r="P62" s="425">
        <f ca="1">IF(M62&gt;0,N62*100/M62,0)</f>
        <v>39.360383650582854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IFERROR(__xludf.DUMMYFUNCTION("IMPORTRANGE(""https://docs.google.com/spreadsheets/d/1-uDff_7J0KD5mKrp0Vvzr7lt3OU09vwQwhkpOPPYv2Y/edit?usp=sharing"",""งบพรบ!AC49"")"),449200)</f>
        <v>449200</v>
      </c>
      <c r="M64" s="425">
        <f ca="1">IFERROR(__xludf.DUMMYFUNCTION("IMPORTRANGE(""https://docs.google.com/spreadsheets/d/1-uDff_7J0KD5mKrp0Vvzr7lt3OU09vwQwhkpOPPYv2Y/edit?usp=sharing"",""งบพรบ!AH49"")"),338850)</f>
        <v>338850</v>
      </c>
      <c r="N64" s="425">
        <f ca="1">IFERROR(__xludf.DUMMYFUNCTION("IMPORTRANGE(""https://docs.google.com/spreadsheets/d/1-uDff_7J0KD5mKrp0Vvzr7lt3OU09vwQwhkpOPPYv2Y/edit?usp=sharing"",""งบพรบ!AJ49"")"),133372.66)</f>
        <v>133372.66</v>
      </c>
      <c r="O64" s="425">
        <f ca="1">IF(L64&gt;0,N64*100/L64,0)</f>
        <v>29.691153161175421</v>
      </c>
      <c r="P64" s="425">
        <f ca="1">IF(M64&gt;0,N64*100/M64,0)</f>
        <v>39.360383650582854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IFERROR(__xludf.DUMMYFUNCTION("IMPORTRANGE(""https://docs.google.com/spreadsheets/d/1-uDff_7J0KD5mKrp0Vvzr7lt3OU09vwQwhkpOPPYv2Y/edit?usp=sharing"",""งบพรบ!AF49"")"),0)</f>
        <v>0</v>
      </c>
      <c r="M67" s="747">
        <f ca="1">IFERROR(__xludf.DUMMYFUNCTION("IMPORTRANGE(""https://docs.google.com/spreadsheets/d/1-uDff_7J0KD5mKrp0Vvzr7lt3OU09vwQwhkpOPPYv2Y/edit?usp=sharing"",""งบพรบ!AI49"")"),0)</f>
        <v>0</v>
      </c>
      <c r="N67" s="747">
        <f ca="1">IFERROR(__xludf.DUMMYFUNCTION("IMPORTRANGE(""https://docs.google.com/spreadsheets/d/1-uDff_7J0KD5mKrp0Vvzr7lt3OU09vwQwhkpOPPYv2Y/edit?usp=sharing"",""งบพรบ!AK49"")"),0)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19.5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hidden="1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hidden="1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0</v>
      </c>
      <c r="J70" s="705">
        <f>J82</f>
        <v>0</v>
      </c>
      <c r="K70" s="704">
        <f ca="1">IF(I70&gt;0,J70*100/I70,0)</f>
        <v>0</v>
      </c>
      <c r="L70" s="703"/>
      <c r="M70" s="703"/>
      <c r="N70" s="703"/>
      <c r="O70" s="703"/>
      <c r="P70" s="703"/>
    </row>
    <row r="71" spans="1:16" ht="19.5" hidden="1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0</v>
      </c>
      <c r="J71" s="705">
        <f>J83</f>
        <v>0</v>
      </c>
      <c r="K71" s="704">
        <f ca="1">IF(I71&gt;0,J71*100/I71,0)</f>
        <v>0</v>
      </c>
      <c r="L71" s="703"/>
      <c r="M71" s="703"/>
      <c r="N71" s="703"/>
      <c r="O71" s="703"/>
      <c r="P71" s="703"/>
    </row>
    <row r="72" spans="1:16" ht="19.5" hidden="1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0</v>
      </c>
      <c r="M72" s="577">
        <f ca="1">M73+M74</f>
        <v>0</v>
      </c>
      <c r="N72" s="577">
        <f ca="1">N73+N74</f>
        <v>0</v>
      </c>
      <c r="O72" s="577">
        <f ca="1">IF(L72&gt;0,N72*100/L72,0)</f>
        <v>0</v>
      </c>
      <c r="P72" s="577">
        <f ca="1">IF(M72&gt;0,N72*100/M72,0)</f>
        <v>0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hidden="1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hidden="1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IFERROR(__xludf.DUMMYFUNCTION("IMPORTRANGE(""https://docs.google.com/spreadsheets/d/1-uDff_7J0KD5mKrp0Vvzr7lt3OU09vwQwhkpOPPYv2Y/edit?usp=sharing"",""งบพรบ!AM49"")"),0)</f>
        <v>0</v>
      </c>
      <c r="M77" s="425">
        <f ca="1">IFERROR(__xludf.DUMMYFUNCTION("IMPORTRANGE(""https://docs.google.com/spreadsheets/d/1-uDff_7J0KD5mKrp0Vvzr7lt3OU09vwQwhkpOPPYv2Y/edit?usp=sharing"",""งบพรบ!AR49"")"),0)</f>
        <v>0</v>
      </c>
      <c r="N77" s="425">
        <f ca="1">IFERROR(__xludf.DUMMYFUNCTION("IMPORTRANGE(""https://docs.google.com/spreadsheets/d/1-uDff_7J0KD5mKrp0Vvzr7lt3OU09vwQwhkpOPPYv2Y/edit?usp=sharing"",""งบพรบ!AT49"")"),0)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hidden="1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IFERROR(__xludf.DUMMYFUNCTION("IMPORTRANGE(""https://docs.google.com/spreadsheets/d/1-uDff_7J0KD5mKrp0Vvzr7lt3OU09vwQwhkpOPPYv2Y/edit?usp=sharing"",""งบพรบ!AP49"")"),0)</f>
        <v>0</v>
      </c>
      <c r="M80" s="425">
        <f ca="1">IFERROR(__xludf.DUMMYFUNCTION("IMPORTRANGE(""https://docs.google.com/spreadsheets/d/1-uDff_7J0KD5mKrp0Vvzr7lt3OU09vwQwhkpOPPYv2Y/edit?usp=sharing"",""งบพรบ!AS49"")"),0)</f>
        <v>0</v>
      </c>
      <c r="N80" s="425">
        <f ca="1">IFERROR(__xludf.DUMMYFUNCTION("IMPORTRANGE(""https://docs.google.com/spreadsheets/d/1-uDff_7J0KD5mKrp0Vvzr7lt3OU09vwQwhkpOPPYv2Y/edit?usp=sharing"",""งบพรบ!AU49"")"),0)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hidden="1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0</v>
      </c>
      <c r="J82" s="625">
        <f>J84+J86+J88</f>
        <v>0</v>
      </c>
      <c r="K82" s="624">
        <f ca="1">IF(I82&gt;0,J82*100/I82,0)</f>
        <v>0</v>
      </c>
      <c r="L82" s="525"/>
      <c r="M82" s="525"/>
      <c r="N82" s="525"/>
      <c r="O82" s="525"/>
      <c r="P82" s="525"/>
    </row>
    <row r="83" spans="1:16" ht="19.5" hidden="1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0</v>
      </c>
      <c r="J83" s="625">
        <f>J85+J87+J89</f>
        <v>0</v>
      </c>
      <c r="K83" s="624">
        <f ca="1">IF(I83&gt;0,J83*100/I83,0)</f>
        <v>0</v>
      </c>
      <c r="L83" s="525"/>
      <c r="M83" s="525"/>
      <c r="N83" s="525"/>
      <c r="O83" s="525"/>
      <c r="P83" s="525"/>
    </row>
    <row r="84" spans="1:16" ht="18.75" hidden="1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IFERROR(__xludf.DUMMYFUNCTION("IMPORTRANGE(""https://docs.google.com/spreadsheets/d/1eHaY18a8A9IcSdp1K8H6x8fbOy06t2VsZHhMHf-1x7Y/edit?usp=sharing"",""แผน!H49"")"),0)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hidden="1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IFERROR(__xludf.DUMMYFUNCTION("IMPORTRANGE(""https://docs.google.com/spreadsheets/d/1eHaY18a8A9IcSdp1K8H6x8fbOy06t2VsZHhMHf-1x7Y/edit?usp=sharing"",""แผน!I49"")"),0)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hidden="1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IFERROR(__xludf.DUMMYFUNCTION("IMPORTRANGE(""https://docs.google.com/spreadsheets/d/1eHaY18a8A9IcSdp1K8H6x8fbOy06t2VsZHhMHf-1x7Y/edit?usp=sharing"",""แผน!F49"")"),0)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hidden="1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IFERROR(__xludf.DUMMYFUNCTION("IMPORTRANGE(""https://docs.google.com/spreadsheets/d/1eHaY18a8A9IcSdp1K8H6x8fbOy06t2VsZHhMHf-1x7Y/edit?usp=sharing"",""แผน!G49"")"),0)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hidden="1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IFERROR(__xludf.DUMMYFUNCTION("IMPORTRANGE(""https://docs.google.com/spreadsheets/d/1eHaY18a8A9IcSdp1K8H6x8fbOy06t2VsZHhMHf-1x7Y/edit?usp=sharing"",""แผน!D49"")"),0)</f>
        <v>0</v>
      </c>
      <c r="J88" s="595">
        <v>0</v>
      </c>
      <c r="K88" s="621">
        <f ca="1">IF(I88&gt;0,J88*100/I88,0)</f>
        <v>0</v>
      </c>
      <c r="L88" s="525"/>
      <c r="M88" s="525"/>
      <c r="N88" s="525"/>
      <c r="O88" s="525"/>
      <c r="P88" s="525"/>
    </row>
    <row r="89" spans="1:16" ht="18.75" hidden="1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IFERROR(__xludf.DUMMYFUNCTION("IMPORTRANGE(""https://docs.google.com/spreadsheets/d/1eHaY18a8A9IcSdp1K8H6x8fbOy06t2VsZHhMHf-1x7Y/edit?usp=sharing"",""แผน!E49"")"),0)</f>
        <v>0</v>
      </c>
      <c r="J89" s="595">
        <v>0</v>
      </c>
      <c r="K89" s="621">
        <f ca="1">IF(I89&gt;0,J89*100/I89,0)</f>
        <v>0</v>
      </c>
      <c r="L89" s="525"/>
      <c r="M89" s="525"/>
      <c r="N89" s="525"/>
      <c r="O89" s="525"/>
      <c r="P89" s="525"/>
    </row>
    <row r="90" spans="1:16" ht="18.75" hidden="1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IFERROR(__xludf.DUMMYFUNCTION("IMPORTRANGE(""https://docs.google.com/spreadsheets/d/1eHaY18a8A9IcSdp1K8H6x8fbOy06t2VsZHhMHf-1x7Y/edit?usp=sharing"",""แผน!J49"")"),0)</f>
        <v>0</v>
      </c>
      <c r="J90" s="595">
        <v>0</v>
      </c>
      <c r="K90" s="621">
        <f ca="1">IF(I90&gt;0,J90*100/I90,0)</f>
        <v>0</v>
      </c>
      <c r="L90" s="525"/>
      <c r="M90" s="525"/>
      <c r="N90" s="525"/>
      <c r="O90" s="525"/>
      <c r="P90" s="525"/>
    </row>
    <row r="91" spans="1:16" ht="19.5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30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10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130100</v>
      </c>
      <c r="M94" s="577">
        <f ca="1">M95+M96</f>
        <v>107500</v>
      </c>
      <c r="N94" s="577">
        <f ca="1">N95+N96</f>
        <v>16535</v>
      </c>
      <c r="O94" s="577">
        <f ca="1">IF(L94&gt;0,N94*100/L94,0)</f>
        <v>12.709454265949271</v>
      </c>
      <c r="P94" s="577">
        <f ca="1">IF(M94&gt;0,N94*100/M94,0)</f>
        <v>15.381395348837209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130100</v>
      </c>
      <c r="M96" s="425">
        <f ca="1">M99+M102</f>
        <v>107500</v>
      </c>
      <c r="N96" s="425">
        <f ca="1">N99+N102</f>
        <v>16535</v>
      </c>
      <c r="O96" s="425">
        <f ca="1">IF(L96&gt;0,N96*100/L96,0)</f>
        <v>12.709454265949271</v>
      </c>
      <c r="P96" s="425">
        <f ca="1">IF(M96&gt;0,N96*100/M96,0)</f>
        <v>15.381395348837209</v>
      </c>
    </row>
    <row r="97" spans="1:16" ht="18.75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130100</v>
      </c>
      <c r="M97" s="425">
        <f ca="1">M98+M99</f>
        <v>107500</v>
      </c>
      <c r="N97" s="425">
        <f ca="1">N98+N99</f>
        <v>16535</v>
      </c>
      <c r="O97" s="425">
        <f ca="1">IF(L97&gt;0,N97*100/L97,0)</f>
        <v>12.709454265949271</v>
      </c>
      <c r="P97" s="425">
        <f ca="1">IF(M97&gt;0,N97*100/M97,0)</f>
        <v>15.381395348837209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IFERROR(__xludf.DUMMYFUNCTION("IMPORTRANGE(""https://docs.google.com/spreadsheets/d/1-uDff_7J0KD5mKrp0Vvzr7lt3OU09vwQwhkpOPPYv2Y/edit?usp=sharing"",""งบพรบ!AW49"")"),130100)</f>
        <v>130100</v>
      </c>
      <c r="M99" s="425">
        <f ca="1">IFERROR(__xludf.DUMMYFUNCTION("IMPORTRANGE(""https://docs.google.com/spreadsheets/d/1-uDff_7J0KD5mKrp0Vvzr7lt3OU09vwQwhkpOPPYv2Y/edit?usp=sharing"",""งบพรบ!BB49"")"),107500)</f>
        <v>107500</v>
      </c>
      <c r="N99" s="425">
        <f ca="1">IFERROR(__xludf.DUMMYFUNCTION("IMPORTRANGE(""https://docs.google.com/spreadsheets/d/1-uDff_7J0KD5mKrp0Vvzr7lt3OU09vwQwhkpOPPYv2Y/edit?usp=sharing"",""งบพรบ!BD49"")"),16535)</f>
        <v>16535</v>
      </c>
      <c r="O99" s="425">
        <f ca="1">IF(L99&gt;0,N99*100/L99,0)</f>
        <v>12.709454265949271</v>
      </c>
      <c r="P99" s="425">
        <f ca="1">IF(M99&gt;0,N99*100/M99,0)</f>
        <v>15.381395348837209</v>
      </c>
    </row>
    <row r="100" spans="1:16" ht="18.75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IFERROR(__xludf.DUMMYFUNCTION("IMPORTRANGE(""https://docs.google.com/spreadsheets/d/1-uDff_7J0KD5mKrp0Vvzr7lt3OU09vwQwhkpOPPYv2Y/edit?usp=sharing"",""งบพรบ!AZ49"")"),0)</f>
        <v>0</v>
      </c>
      <c r="M102" s="425">
        <f ca="1">IFERROR(__xludf.DUMMYFUNCTION("IMPORTRANGE(""https://docs.google.com/spreadsheets/d/1-uDff_7J0KD5mKrp0Vvzr7lt3OU09vwQwhkpOPPYv2Y/edit?usp=sharing"",""งบพรบ!BC49"")"),0)</f>
        <v>0</v>
      </c>
      <c r="N102" s="425">
        <f ca="1">IFERROR(__xludf.DUMMYFUNCTION("IMPORTRANGE(""https://docs.google.com/spreadsheets/d/1-uDff_7J0KD5mKrp0Vvzr7lt3OU09vwQwhkpOPPYv2Y/edit?usp=sharing"",""งบพรบ!BE49"")"),0)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IFERROR(__xludf.DUMMYFUNCTION("IMPORTRANGE(""https://docs.google.com/spreadsheets/d/1eHaY18a8A9IcSdp1K8H6x8fbOy06t2VsZHhMHf-1x7Y/edit?usp=sharing"",""แผน!N49"")"),30)</f>
        <v>30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IFERROR(__xludf.DUMMYFUNCTION("IMPORTRANGE(""https://docs.google.com/spreadsheets/d/1eHaY18a8A9IcSdp1K8H6x8fbOy06t2VsZHhMHf-1x7Y/edit?usp=sharing"",""แผน!O49"")"),10)</f>
        <v>10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IFERROR(__xludf.DUMMYFUNCTION("IMPORTRANGE(""https://docs.google.com/spreadsheets/d/1eHaY18a8A9IcSdp1K8H6x8fbOy06t2VsZHhMHf-1x7Y/edit?usp=sharing"",""แผน!R49"")"),10)</f>
        <v>10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IFERROR(__xludf.DUMMYFUNCTION("IMPORTRANGE(""https://docs.google.com/spreadsheets/d/1-uDff_7J0KD5mKrp0Vvzr7lt3OU09vwQwhkpOPPYv2Y/edit?usp=sharing"",""งบพรบ!BG49"")"),0)</f>
        <v>0</v>
      </c>
      <c r="M130" s="723">
        <f ca="1">IFERROR(__xludf.DUMMYFUNCTION("IMPORTRANGE(""https://docs.google.com/spreadsheets/d/1-uDff_7J0KD5mKrp0Vvzr7lt3OU09vwQwhkpOPPYv2Y/edit?usp=sharing"",""งบพรบ!BL49"")"),0)</f>
        <v>0</v>
      </c>
      <c r="N130" s="723">
        <f ca="1">IFERROR(__xludf.DUMMYFUNCTION("IMPORTRANGE(""https://docs.google.com/spreadsheets/d/1-uDff_7J0KD5mKrp0Vvzr7lt3OU09vwQwhkpOPPYv2Y/edit?usp=sharing"",""งบพรบ!BN49"")"),0)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IFERROR(__xludf.DUMMYFUNCTION("IMPORTRANGE(""https://docs.google.com/spreadsheets/d/1-uDff_7J0KD5mKrp0Vvzr7lt3OU09vwQwhkpOPPYv2Y/edit?usp=sharing"",""งบพรบ!BJ49"")"),0)</f>
        <v>0</v>
      </c>
      <c r="M133" s="723">
        <f ca="1">IFERROR(__xludf.DUMMYFUNCTION("IMPORTRANGE(""https://docs.google.com/spreadsheets/d/1-uDff_7J0KD5mKrp0Vvzr7lt3OU09vwQwhkpOPPYv2Y/edit?usp=sharing"",""งบพรบ!BM49"")"),0)</f>
        <v>0</v>
      </c>
      <c r="N133" s="723">
        <f ca="1">IFERROR(__xludf.DUMMYFUNCTION("IMPORTRANGE(""https://docs.google.com/spreadsheets/d/1-uDff_7J0KD5mKrp0Vvzr7lt3OU09vwQwhkpOPPYv2Y/edit?usp=sharing"",""งบพรบ!BO49"")"),0)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hidden="1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hidden="1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hidden="1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0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hidden="1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0</v>
      </c>
      <c r="J137" s="705">
        <f>J152</f>
        <v>0</v>
      </c>
      <c r="K137" s="704">
        <f ca="1">IF(I137&gt;0,J137*100/I137,0)</f>
        <v>0</v>
      </c>
      <c r="L137" s="703"/>
      <c r="M137" s="703"/>
      <c r="N137" s="703"/>
      <c r="O137" s="703"/>
      <c r="P137" s="703"/>
    </row>
    <row r="138" spans="1:16" ht="19.5" hidden="1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0</v>
      </c>
      <c r="J138" s="705">
        <f>J153</f>
        <v>0</v>
      </c>
      <c r="K138" s="704">
        <f ca="1">IF(I138&gt;0,J138*100/I138,0)</f>
        <v>0</v>
      </c>
      <c r="L138" s="703"/>
      <c r="M138" s="703"/>
      <c r="N138" s="703"/>
      <c r="O138" s="703"/>
      <c r="P138" s="703"/>
    </row>
    <row r="139" spans="1:16" ht="19.5" hidden="1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0</v>
      </c>
      <c r="M139" s="577">
        <f ca="1">M140+M141</f>
        <v>0</v>
      </c>
      <c r="N139" s="577">
        <f ca="1">N140+N141</f>
        <v>0</v>
      </c>
      <c r="O139" s="577">
        <f ca="1">IF(L139&gt;0,N139*100/L139,0)</f>
        <v>0</v>
      </c>
      <c r="P139" s="577">
        <f ca="1">IF(M139&gt;0,N139*100/M139,0)</f>
        <v>0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hidden="1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0</v>
      </c>
      <c r="M141" s="425">
        <f ca="1">M144+M147</f>
        <v>0</v>
      </c>
      <c r="N141" s="425">
        <f ca="1">N144+N147</f>
        <v>0</v>
      </c>
      <c r="O141" s="425">
        <f ca="1">IF(L141&gt;0,N141*100/L141,0)</f>
        <v>0</v>
      </c>
      <c r="P141" s="425">
        <f ca="1">IF(M141&gt;0,N141*100/M141,0)</f>
        <v>0</v>
      </c>
    </row>
    <row r="142" spans="1:16" ht="18.75" hidden="1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0</v>
      </c>
      <c r="M142" s="425">
        <f ca="1">M143+M144</f>
        <v>0</v>
      </c>
      <c r="N142" s="425">
        <f ca="1">N143+N144</f>
        <v>0</v>
      </c>
      <c r="O142" s="425">
        <f ca="1">IF(L142&gt;0,N142*100/L142,0)</f>
        <v>0</v>
      </c>
      <c r="P142" s="425">
        <f ca="1">IF(M142&gt;0,N142*100/M142,0)</f>
        <v>0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hidden="1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IFERROR(__xludf.DUMMYFUNCTION("IMPORTRANGE(""https://docs.google.com/spreadsheets/d/1-uDff_7J0KD5mKrp0Vvzr7lt3OU09vwQwhkpOPPYv2Y/edit?usp=sharing"",""งบพรบ!BQ49"")"),0)</f>
        <v>0</v>
      </c>
      <c r="M144" s="425">
        <f ca="1">IFERROR(__xludf.DUMMYFUNCTION("IMPORTRANGE(""https://docs.google.com/spreadsheets/d/1-uDff_7J0KD5mKrp0Vvzr7lt3OU09vwQwhkpOPPYv2Y/edit?usp=sharing"",""งบพรบ!BV49"")"),0)</f>
        <v>0</v>
      </c>
      <c r="N144" s="425">
        <f ca="1">IFERROR(__xludf.DUMMYFUNCTION("IMPORTRANGE(""https://docs.google.com/spreadsheets/d/1-uDff_7J0KD5mKrp0Vvzr7lt3OU09vwQwhkpOPPYv2Y/edit?usp=sharing"",""งบพรบ!BX49"")"),0)</f>
        <v>0</v>
      </c>
      <c r="O144" s="425">
        <f ca="1">IF(L144&gt;0,N144*100/L144,0)</f>
        <v>0</v>
      </c>
      <c r="P144" s="425">
        <f ca="1">IF(M144&gt;0,N144*100/M144,0)</f>
        <v>0</v>
      </c>
    </row>
    <row r="145" spans="1:16" ht="18.75" hidden="1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hidden="1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IFERROR(__xludf.DUMMYFUNCTION("IMPORTRANGE(""https://docs.google.com/spreadsheets/d/1-uDff_7J0KD5mKrp0Vvzr7lt3OU09vwQwhkpOPPYv2Y/edit?usp=sharing"",""งบพรบ!BT49"")"),0)</f>
        <v>0</v>
      </c>
      <c r="M147" s="425">
        <f ca="1">IFERROR(__xludf.DUMMYFUNCTION("IMPORTRANGE(""https://docs.google.com/spreadsheets/d/1-uDff_7J0KD5mKrp0Vvzr7lt3OU09vwQwhkpOPPYv2Y/edit?usp=sharing"",""งบพรบ!BW49"")"),0)</f>
        <v>0</v>
      </c>
      <c r="N147" s="425">
        <f ca="1">IFERROR(__xludf.DUMMYFUNCTION("IMPORTRANGE(""https://docs.google.com/spreadsheets/d/1-uDff_7J0KD5mKrp0Vvzr7lt3OU09vwQwhkpOPPYv2Y/edit?usp=sharing"",""งบพรบ!BY49"")"),0)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hidden="1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hidden="1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hidden="1" x14ac:dyDescent="0.3">
      <c r="A150" s="535"/>
      <c r="B150" s="418"/>
      <c r="C150" s="418"/>
      <c r="D150" s="420"/>
      <c r="E150" s="570" t="s">
        <v>159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IFERROR(__xludf.DUMMYFUNCTION("IMPORTRANGE(""https://docs.google.com/spreadsheets/d/1eHaY18a8A9IcSdp1K8H6x8fbOy06t2VsZHhMHf-1x7Y/edit?usp=sharing"",""แผน!U49"")"),0)</f>
        <v>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hidden="1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IFERROR(__xludf.DUMMYFUNCTION("IMPORTRANGE(""https://docs.google.com/spreadsheets/d/1eHaY18a8A9IcSdp1K8H6x8fbOy06t2VsZHhMHf-1x7Y/edit?usp=sharing"",""แผน!V49"")"),0)</f>
        <v>0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hidden="1" x14ac:dyDescent="0.3">
      <c r="A152" s="535"/>
      <c r="B152" s="418"/>
      <c r="C152" s="418"/>
      <c r="D152" s="420"/>
      <c r="E152" s="570" t="s">
        <v>158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IFERROR(__xludf.DUMMYFUNCTION("IMPORTRANGE(""https://docs.google.com/spreadsheets/d/1eHaY18a8A9IcSdp1K8H6x8fbOy06t2VsZHhMHf-1x7Y/edit?usp=sharing"",""แผน!W49"")"),0)</f>
        <v>0</v>
      </c>
      <c r="J152" s="595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hidden="1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IFERROR(__xludf.DUMMYFUNCTION("IMPORTRANGE(""https://docs.google.com/spreadsheets/d/1eHaY18a8A9IcSdp1K8H6x8fbOy06t2VsZHhMHf-1x7Y/edit?usp=sharing"",""แผน!X49"")"),0)</f>
        <v>0</v>
      </c>
      <c r="J153" s="595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hidden="1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IFERROR(__xludf.DUMMYFUNCTION("IMPORTRANGE(""https://docs.google.com/spreadsheets/d/1eHaY18a8A9IcSdp1K8H6x8fbOy06t2VsZHhMHf-1x7Y/edit?usp=sharing"",""แผน!Y49"")"),0)</f>
        <v>0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hidden="1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hidden="1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I169</f>
        <v>0</v>
      </c>
      <c r="J156" s="705">
        <f>J169</f>
        <v>0</v>
      </c>
      <c r="K156" s="704">
        <f ca="1">IF(I156&gt;0,J156*100/I156,0)</f>
        <v>0</v>
      </c>
      <c r="L156" s="703"/>
      <c r="M156" s="703"/>
      <c r="N156" s="703"/>
      <c r="O156" s="703"/>
      <c r="P156" s="703"/>
    </row>
    <row r="157" spans="1:16" ht="19.5" hidden="1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hidden="1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hidden="1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hidden="1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IFERROR(__xludf.DUMMYFUNCTION("IMPORTRANGE(""https://docs.google.com/spreadsheets/d/1-uDff_7J0KD5mKrp0Vvzr7lt3OU09vwQwhkpOPPYv2Y/edit?usp=sharing"",""งบพรบ!CA49"")"),0)</f>
        <v>0</v>
      </c>
      <c r="M162" s="425">
        <f ca="1">IFERROR(__xludf.DUMMYFUNCTION("IMPORTRANGE(""https://docs.google.com/spreadsheets/d/1-uDff_7J0KD5mKrp0Vvzr7lt3OU09vwQwhkpOPPYv2Y/edit?usp=sharing"",""งบพรบ!CF49"")"),0)</f>
        <v>0</v>
      </c>
      <c r="N162" s="425">
        <f ca="1">IFERROR(__xludf.DUMMYFUNCTION("IMPORTRANGE(""https://docs.google.com/spreadsheets/d/1-uDff_7J0KD5mKrp0Vvzr7lt3OU09vwQwhkpOPPYv2Y/edit?usp=sharing"",""งบพรบ!CH49"")"),0)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hidden="1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hidden="1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IFERROR(__xludf.DUMMYFUNCTION("IMPORTRANGE(""https://docs.google.com/spreadsheets/d/1-uDff_7J0KD5mKrp0Vvzr7lt3OU09vwQwhkpOPPYv2Y/edit?usp=sharing"",""งบพรบ!CD49"")"),0)</f>
        <v>0</v>
      </c>
      <c r="M165" s="425">
        <f ca="1">IFERROR(__xludf.DUMMYFUNCTION("IMPORTRANGE(""https://docs.google.com/spreadsheets/d/1-uDff_7J0KD5mKrp0Vvzr7lt3OU09vwQwhkpOPPYv2Y/edit?usp=sharing"",""งบพรบ!CG49"")"),0)</f>
        <v>0</v>
      </c>
      <c r="N165" s="425">
        <f ca="1">IFERROR(__xludf.DUMMYFUNCTION("IMPORTRANGE(""https://docs.google.com/spreadsheets/d/1-uDff_7J0KD5mKrp0Vvzr7lt3OU09vwQwhkpOPPYv2Y/edit?usp=sharing"",""งบพรบ!CI49"")"),0)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hidden="1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hidden="1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IFERROR(__xludf.DUMMYFUNCTION("IMPORTRANGE(""https://docs.google.com/spreadsheets/d/1eHaY18a8A9IcSdp1K8H6x8fbOy06t2VsZHhMHf-1x7Y/edit?usp=sharing"",""แผน!Z49"")"),0)</f>
        <v>0</v>
      </c>
      <c r="J167" s="595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IFERROR(__xludf.DUMMYFUNCTION("IMPORTRANGE(""https://docs.google.com/spreadsheets/d/1eHaY18a8A9IcSdp1K8H6x8fbOy06t2VsZHhMHf-1x7Y/edit?usp=sharing"",""แผน!Z49"")"),0)</f>
        <v>0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IFERROR(__xludf.DUMMYFUNCTION("IMPORTRANGE(""https://docs.google.com/spreadsheets/d/1eHaY18a8A9IcSdp1K8H6x8fbOy06t2VsZHhMHf-1x7Y/edit?usp=sharing"",""แผน!Z49"")"),0)</f>
        <v>0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7</v>
      </c>
      <c r="J172" s="688">
        <f>J183+J184</f>
        <v>7</v>
      </c>
      <c r="K172" s="687">
        <f ca="1">IF(I172&gt;0,J172*100/I172,0)</f>
        <v>100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19590</v>
      </c>
      <c r="M173" s="577">
        <f ca="1">M174+M175</f>
        <v>19590</v>
      </c>
      <c r="N173" s="577">
        <f ca="1">N174+N175</f>
        <v>18470</v>
      </c>
      <c r="O173" s="577">
        <f ca="1">IF(L173&gt;0,N173*100/L173,0)</f>
        <v>94.282797345584484</v>
      </c>
      <c r="P173" s="577">
        <f ca="1">IF(M173&gt;0,N173*100/M173,0)</f>
        <v>94.282797345584484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19590</v>
      </c>
      <c r="N175" s="425">
        <f ca="1">N178+N181</f>
        <v>18470</v>
      </c>
      <c r="O175" s="425">
        <f ca="1">IF(L175&gt;0,N175*100/L175,0)</f>
        <v>94.282797345584484</v>
      </c>
      <c r="P175" s="425">
        <f ca="1">IF(M175&gt;0,N175*100/M175,0)</f>
        <v>94.282797345584484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19590</v>
      </c>
      <c r="M176" s="425">
        <f ca="1">M177+M178</f>
        <v>19590</v>
      </c>
      <c r="N176" s="425">
        <f ca="1">N177+N178</f>
        <v>18470</v>
      </c>
      <c r="O176" s="425">
        <f ca="1">IF(L176&gt;0,N176*100/L176,0)</f>
        <v>94.282797345584484</v>
      </c>
      <c r="P176" s="425">
        <f ca="1">IF(M176&gt;0,N176*100/M176,0)</f>
        <v>94.282797345584484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IFERROR(__xludf.DUMMYFUNCTION("IMPORTRANGE(""https://docs.google.com/spreadsheets/d/1-uDff_7J0KD5mKrp0Vvzr7lt3OU09vwQwhkpOPPYv2Y/edit?usp=sharing"",""งบพรบ!CK49"")"),19590)</f>
        <v>19590</v>
      </c>
      <c r="M178" s="425">
        <f ca="1">IFERROR(__xludf.DUMMYFUNCTION("IMPORTRANGE(""https://docs.google.com/spreadsheets/d/1-uDff_7J0KD5mKrp0Vvzr7lt3OU09vwQwhkpOPPYv2Y/edit?usp=sharing"",""งบพรบ!CP49"")"),19590)</f>
        <v>19590</v>
      </c>
      <c r="N178" s="425">
        <f ca="1">IFERROR(__xludf.DUMMYFUNCTION("IMPORTRANGE(""https://docs.google.com/spreadsheets/d/1-uDff_7J0KD5mKrp0Vvzr7lt3OU09vwQwhkpOPPYv2Y/edit?usp=sharing"",""งบพรบ!CR49"")"),18470)</f>
        <v>18470</v>
      </c>
      <c r="O178" s="425">
        <f ca="1">IF(L178&gt;0,N178*100/L178,0)</f>
        <v>94.282797345584484</v>
      </c>
      <c r="P178" s="425">
        <f ca="1">IF(M178&gt;0,N178*100/M178,0)</f>
        <v>94.282797345584484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IFERROR(__xludf.DUMMYFUNCTION("IMPORTRANGE(""https://docs.google.com/spreadsheets/d/1-uDff_7J0KD5mKrp0Vvzr7lt3OU09vwQwhkpOPPYv2Y/edit?usp=sharing"",""งบพรบ!CN49"")"),0)</f>
        <v>0</v>
      </c>
      <c r="M181" s="425">
        <f ca="1">IFERROR(__xludf.DUMMYFUNCTION("IMPORTRANGE(""https://docs.google.com/spreadsheets/d/1-uDff_7J0KD5mKrp0Vvzr7lt3OU09vwQwhkpOPPYv2Y/edit?usp=sharing"",""งบพรบ!CQ49"")"),0)</f>
        <v>0</v>
      </c>
      <c r="N181" s="425">
        <f ca="1">IFERROR(__xludf.DUMMYFUNCTION("IMPORTRANGE(""https://docs.google.com/spreadsheets/d/1-uDff_7J0KD5mKrp0Vvzr7lt3OU09vwQwhkpOPPYv2Y/edit?usp=sharing"",""งบพรบ!CS49"")"),0)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IFERROR(__xludf.DUMMYFUNCTION("IMPORTRANGE(""https://docs.google.com/spreadsheets/d/1eHaY18a8A9IcSdp1K8H6x8fbOy06t2VsZHhMHf-1x7Y/edit?usp=sharing"",""แผน!AA49"")"),7)</f>
        <v>7</v>
      </c>
      <c r="J183" s="595">
        <v>7</v>
      </c>
      <c r="K183" s="425">
        <f ca="1">IF(I183&gt;0,J183*100/I183,0)</f>
        <v>100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0</v>
      </c>
      <c r="J185" s="688">
        <f>J230+J231</f>
        <v>0</v>
      </c>
      <c r="K185" s="687">
        <f ca="1">IF(I185&gt;0,J185*100/I185,0)</f>
        <v>0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42500</v>
      </c>
      <c r="M186" s="577">
        <f ca="1">M187+M188</f>
        <v>22500</v>
      </c>
      <c r="N186" s="577">
        <f ca="1">N187+N188</f>
        <v>0</v>
      </c>
      <c r="O186" s="577">
        <f ca="1">IF(L186&gt;0,N186*100/L186,0)</f>
        <v>0</v>
      </c>
      <c r="P186" s="577">
        <f ca="1">IF(M186&gt;0,N186*100/M186,0)</f>
        <v>0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42500</v>
      </c>
      <c r="M188" s="425">
        <f ca="1">M191+M194</f>
        <v>22500</v>
      </c>
      <c r="N188" s="425">
        <f ca="1">N191+N194</f>
        <v>0</v>
      </c>
      <c r="O188" s="425">
        <f ca="1">IF(L188&gt;0,N188*100/L188,0)</f>
        <v>0</v>
      </c>
      <c r="P188" s="425">
        <f ca="1">IF(M188&gt;0,N188*100/M188,0)</f>
        <v>0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42500</v>
      </c>
      <c r="M189" s="425">
        <f ca="1">M190+M191</f>
        <v>22500</v>
      </c>
      <c r="N189" s="425">
        <f ca="1">N190+N191</f>
        <v>0</v>
      </c>
      <c r="O189" s="425">
        <f ca="1">IF(L189&gt;0,N189*100/L189,0)</f>
        <v>0</v>
      </c>
      <c r="P189" s="425">
        <f ca="1">IF(M189&gt;0,N189*100/M189,0)</f>
        <v>0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IFERROR(__xludf.DUMMYFUNCTION("IMPORTRANGE(""https://docs.google.com/spreadsheets/d/1-uDff_7J0KD5mKrp0Vvzr7lt3OU09vwQwhkpOPPYv2Y/edit?usp=sharing"",""งบพรบ!CU49"")"),42500)</f>
        <v>42500</v>
      </c>
      <c r="M191" s="425">
        <f ca="1">IFERROR(__xludf.DUMMYFUNCTION("IMPORTRANGE(""https://docs.google.com/spreadsheets/d/1-uDff_7J0KD5mKrp0Vvzr7lt3OU09vwQwhkpOPPYv2Y/edit?usp=sharing"",""งบพรบ!CZ49"")"),22500)</f>
        <v>22500</v>
      </c>
      <c r="N191" s="425">
        <f ca="1">IFERROR(__xludf.DUMMYFUNCTION("IMPORTRANGE(""https://docs.google.com/spreadsheets/d/1-uDff_7J0KD5mKrp0Vvzr7lt3OU09vwQwhkpOPPYv2Y/edit?usp=sharing"",""งบพรบ!DB49"")"),0)</f>
        <v>0</v>
      </c>
      <c r="O191" s="425">
        <f ca="1">IF(L191&gt;0,N191*100/L191,0)</f>
        <v>0</v>
      </c>
      <c r="P191" s="425">
        <f ca="1">IF(M191&gt;0,N191*100/M191,0)</f>
        <v>0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IFERROR(__xludf.DUMMYFUNCTION("IMPORTRANGE(""https://docs.google.com/spreadsheets/d/1-uDff_7J0KD5mKrp0Vvzr7lt3OU09vwQwhkpOPPYv2Y/edit?usp=sharing"",""งบพรบ!CX49"")"),0)</f>
        <v>0</v>
      </c>
      <c r="M194" s="425">
        <f ca="1">IFERROR(__xludf.DUMMYFUNCTION("IMPORTRANGE(""https://docs.google.com/spreadsheets/d/1-uDff_7J0KD5mKrp0Vvzr7lt3OU09vwQwhkpOPPYv2Y/edit?usp=sharing"",""งบพรบ!DA49"")"),0)</f>
        <v>0</v>
      </c>
      <c r="N194" s="425">
        <f ca="1">IFERROR(__xludf.DUMMYFUNCTION("IMPORTRANGE(""https://docs.google.com/spreadsheets/d/1-uDff_7J0KD5mKrp0Vvzr7lt3OU09vwQwhkpOPPYv2Y/edit?usp=sharing"",""งบพรบ!DC49"")"),0)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0</v>
      </c>
      <c r="K195" s="439">
        <f ca="1">IF(I195&gt;0,J195*100/I195,0)</f>
        <v>0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IFERROR(__xludf.DUMMYFUNCTION("IMPORTRANGE(""https://docs.google.com/spreadsheets/d/1eHaY18a8A9IcSdp1K8H6x8fbOy06t2VsZHhMHf-1x7Y/edit?usp=sharing"",""แผน!AB49"")"),6000)</f>
        <v>6000</v>
      </c>
      <c r="M196" s="428"/>
      <c r="N196" s="686">
        <v>0</v>
      </c>
      <c r="O196" s="577">
        <f ca="1">IF(L196&gt;0,N196*100/L196,0)</f>
        <v>0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IFERROR(__xludf.DUMMYFUNCTION("IMPORTRANGE(""https://docs.google.com/spreadsheets/d/1eHaY18a8A9IcSdp1K8H6x8fbOy06t2VsZHhMHf-1x7Y/edit?usp=sharing"",""แผน!AE49"")"),4)</f>
        <v>4</v>
      </c>
      <c r="J198" s="595">
        <v>0</v>
      </c>
      <c r="K198" s="425">
        <f ca="1">IF(I198&gt;0,J198*100/I198,0)</f>
        <v>0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1</v>
      </c>
      <c r="J202" s="438">
        <f>J209</f>
        <v>0</v>
      </c>
      <c r="K202" s="439">
        <f ca="1">IF(I202&gt;0,J202*100/I202,0)</f>
        <v>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16000</v>
      </c>
      <c r="M203" s="428"/>
      <c r="N203" s="577">
        <f>N204+N205+N206+N207</f>
        <v>0</v>
      </c>
      <c r="O203" s="577">
        <f ca="1">IF(L203&gt;0,N203*100/L203,0)</f>
        <v>0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2" t="s">
        <v>157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IFERROR(__xludf.DUMMYFUNCTION("IMPORTRANGE(""https://docs.google.com/spreadsheets/d/1eHaY18a8A9IcSdp1K8H6x8fbOy06t2VsZHhMHf-1x7Y/edit?usp=sharing"",""แผน!AG49"")"),1000)</f>
        <v>1000</v>
      </c>
      <c r="M204" s="428"/>
      <c r="N204" s="683">
        <v>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IFERROR(__xludf.DUMMYFUNCTION("IMPORTRANGE(""https://docs.google.com/spreadsheets/d/1eHaY18a8A9IcSdp1K8H6x8fbOy06t2VsZHhMHf-1x7Y/edit?usp=sharing"",""แผน!AH49"")"),0)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IFERROR(__xludf.DUMMYFUNCTION("IMPORTRANGE(""https://docs.google.com/spreadsheets/d/1eHaY18a8A9IcSdp1K8H6x8fbOy06t2VsZHhMHf-1x7Y/edit?usp=sharing"",""แผน!AI49"")"),8000)</f>
        <v>8000</v>
      </c>
      <c r="M206" s="428"/>
      <c r="N206" s="683">
        <v>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IFERROR(__xludf.DUMMYFUNCTION("IMPORTRANGE(""https://docs.google.com/spreadsheets/d/1eHaY18a8A9IcSdp1K8H6x8fbOy06t2VsZHhMHf-1x7Y/edit?usp=sharing"",""แผน!AJ49"")"),7000)</f>
        <v>7000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IFERROR(__xludf.DUMMYFUNCTION("IMPORTRANGE(""https://docs.google.com/spreadsheets/d/1eHaY18a8A9IcSdp1K8H6x8fbOy06t2VsZHhMHf-1x7Y/edit?usp=sharing"",""แผน!AK49"")"),1)</f>
        <v>1</v>
      </c>
      <c r="J209" s="595">
        <v>0</v>
      </c>
      <c r="K209" s="621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IFERROR(__xludf.DUMMYFUNCTION("IMPORTRANGE(""https://docs.google.com/spreadsheets/d/1eHaY18a8A9IcSdp1K8H6x8fbOy06t2VsZHhMHf-1x7Y/edit?usp=sharing"",""แผน!JX49"")"),1)</f>
        <v>1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IFERROR(__xludf.DUMMYFUNCTION("IMPORTRANGE(""https://docs.google.com/spreadsheets/d/1eHaY18a8A9IcSdp1K8H6x8fbOy06t2VsZHhMHf-1x7Y/edit?usp=sharing"",""แผน!JY49"")"),1)</f>
        <v>1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1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14000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IFERROR(__xludf.DUMMYFUNCTION("IMPORTRANGE(""https://docs.google.com/spreadsheets/d/1eHaY18a8A9IcSdp1K8H6x8fbOy06t2VsZHhMHf-1x7Y/edit?usp=sharing"",""แผน!AM49"")"),1000)</f>
        <v>1000</v>
      </c>
      <c r="M215" s="428"/>
      <c r="N215" s="683">
        <v>0</v>
      </c>
      <c r="O215" s="525"/>
      <c r="P215" s="428"/>
    </row>
    <row r="216" spans="1:16" ht="18.75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IFERROR(__xludf.DUMMYFUNCTION("IMPORTRANGE(""https://docs.google.com/spreadsheets/d/1eHaY18a8A9IcSdp1K8H6x8fbOy06t2VsZHhMHf-1x7Y/edit?usp=sharing"",""แผน!AN49"")"),5000)</f>
        <v>5000</v>
      </c>
      <c r="M216" s="428"/>
      <c r="N216" s="683">
        <v>0</v>
      </c>
      <c r="O216" s="525"/>
      <c r="P216" s="428"/>
    </row>
    <row r="217" spans="1:16" ht="18.75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IFERROR(__xludf.DUMMYFUNCTION("IMPORTRANGE(""https://docs.google.com/spreadsheets/d/1eHaY18a8A9IcSdp1K8H6x8fbOy06t2VsZHhMHf-1x7Y/edit?usp=sharing"",""แผน!AO49"")"),8000)</f>
        <v>8000</v>
      </c>
      <c r="M217" s="428"/>
      <c r="N217" s="683">
        <v>0</v>
      </c>
      <c r="O217" s="525"/>
      <c r="P217" s="428"/>
    </row>
    <row r="218" spans="1:16" ht="19.5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IFERROR(__xludf.DUMMYFUNCTION("IMPORTRANGE(""https://docs.google.com/spreadsheets/d/1eHaY18a8A9IcSdp1K8H6x8fbOy06t2VsZHhMHf-1x7Y/edit?usp=sharing"",""แผน!AP49"")"),1)</f>
        <v>1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IFERROR(__xludf.DUMMYFUNCTION("IMPORTRANGE(""https://docs.google.com/spreadsheets/d/1eHaY18a8A9IcSdp1K8H6x8fbOy06t2VsZHhMHf-1x7Y/edit?usp=sharing"",""แผน!AP49"")"),1)</f>
        <v>1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30000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6500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2" t="s">
        <v>156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IFERROR(__xludf.DUMMYFUNCTION("IMPORTRANGE(""https://docs.google.com/spreadsheets/d/1eHaY18a8A9IcSdp1K8H6x8fbOy06t2VsZHhMHf-1x7Y/edit?usp=sharing"",""แผน!AR49"")"),5000)</f>
        <v>5000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IFERROR(__xludf.DUMMYFUNCTION("IMPORTRANGE(""https://docs.google.com/spreadsheets/d/1eHaY18a8A9IcSdp1K8H6x8fbOy06t2VsZHhMHf-1x7Y/edit?usp=sharing"",""แผน!AS49"")"),1500)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IFERROR(__xludf.DUMMYFUNCTION("IMPORTRANGE(""https://docs.google.com/spreadsheets/d/1eHaY18a8A9IcSdp1K8H6x8fbOy06t2VsZHhMHf-1x7Y/edit?usp=sharing"",""แผน!AT49"")"),0)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IFERROR(__xludf.DUMMYFUNCTION("IMPORTRANGE(""https://docs.google.com/spreadsheets/d/1eHaY18a8A9IcSdp1K8H6x8fbOy06t2VsZHhMHf-1x7Y/edit?usp=sharing"",""แผน!AV49"")"),30000)</f>
        <v>30000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IFERROR(__xludf.DUMMYFUNCTION("IMPORTRANGE(""https://docs.google.com/spreadsheets/d/1eHaY18a8A9IcSdp1K8H6x8fbOy06t2VsZHhMHf-1x7Y/edit?usp=sharing"",""แผน!AV49"")"),30000)</f>
        <v>30000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IFERROR(__xludf.DUMMYFUNCTION("IMPORTRANGE(""https://docs.google.com/spreadsheets/d/1eHaY18a8A9IcSdp1K8H6x8fbOy06t2VsZHhMHf-1x7Y/edit?usp=sharing"",""แผน!AU49"")"),0)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432"/>
      <c r="B231" s="434"/>
      <c r="C231" s="682" t="s">
        <v>99</v>
      </c>
      <c r="D231" s="433"/>
      <c r="E231" s="433"/>
      <c r="F231" s="433"/>
      <c r="G231" s="436"/>
      <c r="H231" s="437" t="s">
        <v>33</v>
      </c>
      <c r="I231" s="438">
        <f ca="1">I242+I253</f>
        <v>0</v>
      </c>
      <c r="J231" s="438">
        <f>J242+J253</f>
        <v>0</v>
      </c>
      <c r="K231" s="439">
        <f ca="1">IF(I231&gt;0,J231*100/I231,0)</f>
        <v>0</v>
      </c>
      <c r="L231" s="571"/>
      <c r="M231" s="571"/>
      <c r="N231" s="571"/>
      <c r="O231" s="571"/>
      <c r="P231" s="571"/>
    </row>
    <row r="232" spans="1:16" ht="19.5" hidden="1" x14ac:dyDescent="0.3">
      <c r="A232" s="535"/>
      <c r="B232" s="418"/>
      <c r="C232" s="570" t="s">
        <v>16</v>
      </c>
      <c r="D232" s="579" t="s">
        <v>17</v>
      </c>
      <c r="E232" s="418"/>
      <c r="F232" s="418"/>
      <c r="G232" s="422"/>
      <c r="H232" s="681" t="s">
        <v>12</v>
      </c>
      <c r="I232" s="526"/>
      <c r="J232" s="526"/>
      <c r="K232" s="525"/>
      <c r="L232" s="577">
        <f ca="1">L243+L254</f>
        <v>0</v>
      </c>
      <c r="M232" s="428"/>
      <c r="N232" s="577">
        <f>N243+N254</f>
        <v>0</v>
      </c>
      <c r="O232" s="428"/>
      <c r="P232" s="428"/>
    </row>
    <row r="233" spans="1:16" ht="18.75" hidden="1" x14ac:dyDescent="0.25">
      <c r="A233" s="535"/>
      <c r="B233" s="419"/>
      <c r="C233" s="418"/>
      <c r="D233" s="293" t="s">
        <v>80</v>
      </c>
      <c r="E233" s="418"/>
      <c r="F233" s="418"/>
      <c r="G233" s="422"/>
      <c r="H233" s="576" t="s">
        <v>12</v>
      </c>
      <c r="I233" s="526"/>
      <c r="J233" s="526"/>
      <c r="K233" s="525"/>
      <c r="L233" s="425">
        <f ca="1">L244+L255</f>
        <v>0</v>
      </c>
      <c r="M233" s="428"/>
      <c r="N233" s="425">
        <f>N244+N255</f>
        <v>0</v>
      </c>
      <c r="O233" s="428"/>
      <c r="P233" s="428"/>
    </row>
    <row r="234" spans="1:16" ht="18.75" hidden="1" x14ac:dyDescent="0.25">
      <c r="A234" s="417"/>
      <c r="B234" s="419"/>
      <c r="C234" s="419"/>
      <c r="D234" s="293" t="s">
        <v>82</v>
      </c>
      <c r="E234" s="418"/>
      <c r="F234" s="418"/>
      <c r="G234" s="422"/>
      <c r="H234" s="576" t="s">
        <v>12</v>
      </c>
      <c r="I234" s="427"/>
      <c r="J234" s="427"/>
      <c r="K234" s="428"/>
      <c r="L234" s="425">
        <f ca="1">L245+L256</f>
        <v>0</v>
      </c>
      <c r="M234" s="428"/>
      <c r="N234" s="425">
        <f>N245+N256</f>
        <v>0</v>
      </c>
      <c r="O234" s="428"/>
      <c r="P234" s="428"/>
    </row>
    <row r="235" spans="1:16" ht="18.75" hidden="1" x14ac:dyDescent="0.25">
      <c r="A235" s="417"/>
      <c r="B235" s="419"/>
      <c r="C235" s="419"/>
      <c r="D235" s="293" t="s">
        <v>100</v>
      </c>
      <c r="E235" s="418"/>
      <c r="F235" s="418"/>
      <c r="G235" s="422"/>
      <c r="H235" s="576" t="s">
        <v>12</v>
      </c>
      <c r="I235" s="427"/>
      <c r="J235" s="427"/>
      <c r="K235" s="428"/>
      <c r="L235" s="425">
        <f ca="1">L246+L257</f>
        <v>0</v>
      </c>
      <c r="M235" s="428"/>
      <c r="N235" s="425">
        <f>N246+N257</f>
        <v>0</v>
      </c>
      <c r="O235" s="428"/>
      <c r="P235" s="428"/>
    </row>
    <row r="236" spans="1:16" ht="18.75" hidden="1" x14ac:dyDescent="0.25">
      <c r="A236" s="417"/>
      <c r="B236" s="419"/>
      <c r="C236" s="419"/>
      <c r="D236" s="293" t="s">
        <v>101</v>
      </c>
      <c r="E236" s="418"/>
      <c r="F236" s="418"/>
      <c r="G236" s="422"/>
      <c r="H236" s="576" t="s">
        <v>12</v>
      </c>
      <c r="I236" s="427"/>
      <c r="J236" s="427"/>
      <c r="K236" s="428"/>
      <c r="L236" s="425">
        <f ca="1">L247+L258</f>
        <v>0</v>
      </c>
      <c r="M236" s="428"/>
      <c r="N236" s="425">
        <f>N247+N258</f>
        <v>0</v>
      </c>
      <c r="O236" s="428"/>
      <c r="P236" s="428"/>
    </row>
    <row r="237" spans="1:16" ht="19.5" hidden="1" x14ac:dyDescent="0.3">
      <c r="A237" s="532"/>
      <c r="B237" s="430"/>
      <c r="C237" s="680" t="s">
        <v>16</v>
      </c>
      <c r="D237" s="569" t="s">
        <v>36</v>
      </c>
      <c r="E237" s="529"/>
      <c r="F237" s="529"/>
      <c r="G237" s="528"/>
      <c r="H237" s="527"/>
      <c r="I237" s="526"/>
      <c r="J237" s="427"/>
      <c r="K237" s="428"/>
      <c r="L237" s="428"/>
      <c r="M237" s="428"/>
      <c r="N237" s="428"/>
      <c r="O237" s="525"/>
      <c r="P237" s="525"/>
    </row>
    <row r="238" spans="1:16" ht="18.75" hidden="1" x14ac:dyDescent="0.25">
      <c r="A238" s="532"/>
      <c r="B238" s="430"/>
      <c r="C238" s="430"/>
      <c r="D238" s="421" t="s">
        <v>102</v>
      </c>
      <c r="E238" s="420"/>
      <c r="F238" s="420"/>
      <c r="G238" s="527"/>
      <c r="H238" s="566" t="s">
        <v>33</v>
      </c>
      <c r="I238" s="424">
        <f ca="1">I249+I260</f>
        <v>0</v>
      </c>
      <c r="J238" s="424">
        <f>J249+J260</f>
        <v>0</v>
      </c>
      <c r="K238" s="425">
        <f ca="1">IF(I238&gt;0,J238*100/I238,0)</f>
        <v>0</v>
      </c>
      <c r="L238" s="428"/>
      <c r="M238" s="428"/>
      <c r="N238" s="428"/>
      <c r="O238" s="428"/>
      <c r="P238" s="428"/>
    </row>
    <row r="239" spans="1:16" ht="18.75" hidden="1" x14ac:dyDescent="0.25">
      <c r="A239" s="532"/>
      <c r="B239" s="430"/>
      <c r="C239" s="430"/>
      <c r="D239" s="679" t="s">
        <v>41</v>
      </c>
      <c r="E239" s="420"/>
      <c r="F239" s="420"/>
      <c r="G239" s="527"/>
      <c r="H239" s="527"/>
      <c r="I239" s="427"/>
      <c r="J239" s="427"/>
      <c r="K239" s="428"/>
      <c r="L239" s="428"/>
      <c r="M239" s="428"/>
      <c r="N239" s="428"/>
      <c r="O239" s="525"/>
      <c r="P239" s="525"/>
    </row>
    <row r="240" spans="1:16" ht="18.75" hidden="1" x14ac:dyDescent="0.25">
      <c r="A240" s="532"/>
      <c r="B240" s="430"/>
      <c r="C240" s="430"/>
      <c r="D240" s="430"/>
      <c r="E240" s="567" t="s">
        <v>103</v>
      </c>
      <c r="F240" s="420"/>
      <c r="G240" s="527"/>
      <c r="H240" s="566" t="s">
        <v>33</v>
      </c>
      <c r="I240" s="424">
        <f>I251+I262</f>
        <v>0</v>
      </c>
      <c r="J240" s="424">
        <f>J251+J262</f>
        <v>0</v>
      </c>
      <c r="K240" s="425">
        <f>IF(I240&gt;0,J240*100/I240,0)</f>
        <v>0</v>
      </c>
      <c r="L240" s="428"/>
      <c r="M240" s="428"/>
      <c r="N240" s="428"/>
      <c r="O240" s="428"/>
      <c r="P240" s="428"/>
    </row>
    <row r="241" spans="1:16" ht="18.75" hidden="1" x14ac:dyDescent="0.25">
      <c r="A241" s="532"/>
      <c r="B241" s="430"/>
      <c r="C241" s="430"/>
      <c r="D241" s="430"/>
      <c r="E241" s="567" t="s">
        <v>104</v>
      </c>
      <c r="F241" s="420"/>
      <c r="G241" s="527"/>
      <c r="H241" s="566" t="s">
        <v>54</v>
      </c>
      <c r="I241" s="424">
        <f>I252+I263</f>
        <v>0</v>
      </c>
      <c r="J241" s="424">
        <f>J252+J263</f>
        <v>0</v>
      </c>
      <c r="K241" s="425">
        <f>IF(I241&gt;0,J241*100/I241,0)</f>
        <v>0</v>
      </c>
      <c r="L241" s="428"/>
      <c r="M241" s="428"/>
      <c r="N241" s="428"/>
      <c r="O241" s="428"/>
      <c r="P241" s="428"/>
    </row>
    <row r="242" spans="1:16" ht="19.5" hidden="1" x14ac:dyDescent="0.3">
      <c r="A242" s="432"/>
      <c r="B242" s="434"/>
      <c r="C242" s="678" t="s">
        <v>105</v>
      </c>
      <c r="D242" s="433"/>
      <c r="E242" s="433"/>
      <c r="F242" s="433"/>
      <c r="G242" s="436"/>
      <c r="H242" s="677" t="s">
        <v>33</v>
      </c>
      <c r="I242" s="676">
        <f ca="1">I249</f>
        <v>0</v>
      </c>
      <c r="J242" s="676">
        <f>J249</f>
        <v>0</v>
      </c>
      <c r="K242" s="675">
        <f ca="1">IF(I242&gt;0,J242*100/I242,0)</f>
        <v>0</v>
      </c>
      <c r="L242" s="571"/>
      <c r="M242" s="571"/>
      <c r="N242" s="571"/>
      <c r="O242" s="571"/>
      <c r="P242" s="571"/>
    </row>
    <row r="243" spans="1:16" ht="19.5" hidden="1" x14ac:dyDescent="0.3">
      <c r="A243" s="535"/>
      <c r="B243" s="418"/>
      <c r="C243" s="531" t="s">
        <v>16</v>
      </c>
      <c r="D243" s="541" t="s">
        <v>17</v>
      </c>
      <c r="E243" s="418"/>
      <c r="F243" s="418"/>
      <c r="G243" s="422"/>
      <c r="H243" s="673" t="s">
        <v>12</v>
      </c>
      <c r="I243" s="526"/>
      <c r="J243" s="526"/>
      <c r="K243" s="525"/>
      <c r="L243" s="539">
        <f ca="1">L244+L245+L246+L247</f>
        <v>0</v>
      </c>
      <c r="M243" s="428"/>
      <c r="N243" s="539">
        <f>N244+N245+N246+N247</f>
        <v>0</v>
      </c>
      <c r="O243" s="539">
        <f ca="1">IF(L243&gt;0,N243*100/L243,0)</f>
        <v>0</v>
      </c>
      <c r="P243" s="539">
        <f>IF(M243&gt;0,N243*100/M243,0)</f>
        <v>0</v>
      </c>
    </row>
    <row r="244" spans="1:16" ht="18.75" hidden="1" x14ac:dyDescent="0.25">
      <c r="A244" s="535"/>
      <c r="B244" s="419"/>
      <c r="C244" s="418"/>
      <c r="D244" s="534" t="s">
        <v>80</v>
      </c>
      <c r="E244" s="418"/>
      <c r="F244" s="418"/>
      <c r="G244" s="422"/>
      <c r="H244" s="536" t="s">
        <v>12</v>
      </c>
      <c r="I244" s="526"/>
      <c r="J244" s="526"/>
      <c r="K244" s="525"/>
      <c r="L244" s="521">
        <f ca="1">IFERROR(__xludf.DUMMYFUNCTION("IMPORTRANGE(""https://docs.google.com/spreadsheets/d/1eHaY18a8A9IcSdp1K8H6x8fbOy06t2VsZHhMHf-1x7Y/edit?usp=sharing"",""แผน!AX49"")"),0)</f>
        <v>0</v>
      </c>
      <c r="M244" s="428"/>
      <c r="N244" s="672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34" t="s">
        <v>82</v>
      </c>
      <c r="E245" s="418"/>
      <c r="F245" s="418"/>
      <c r="G245" s="422"/>
      <c r="H245" s="536" t="s">
        <v>12</v>
      </c>
      <c r="I245" s="427"/>
      <c r="J245" s="427"/>
      <c r="K245" s="428"/>
      <c r="L245" s="521">
        <f ca="1">IFERROR(__xludf.DUMMYFUNCTION("IMPORTRANGE(""https://docs.google.com/spreadsheets/d/1eHaY18a8A9IcSdp1K8H6x8fbOy06t2VsZHhMHf-1x7Y/edit?usp=sharing"",""แผน!AY49"")"),0)</f>
        <v>0</v>
      </c>
      <c r="M245" s="428"/>
      <c r="N245" s="672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34" t="s">
        <v>100</v>
      </c>
      <c r="E246" s="418"/>
      <c r="F246" s="418"/>
      <c r="G246" s="422"/>
      <c r="H246" s="536" t="s">
        <v>12</v>
      </c>
      <c r="I246" s="427"/>
      <c r="J246" s="427"/>
      <c r="K246" s="428"/>
      <c r="L246" s="521">
        <f ca="1">IFERROR(__xludf.DUMMYFUNCTION("IMPORTRANGE(""https://docs.google.com/spreadsheets/d/1eHaY18a8A9IcSdp1K8H6x8fbOy06t2VsZHhMHf-1x7Y/edit?usp=sharing"",""แผน!AZ49"")"),0)</f>
        <v>0</v>
      </c>
      <c r="M246" s="428"/>
      <c r="N246" s="672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34" t="s">
        <v>101</v>
      </c>
      <c r="E247" s="418"/>
      <c r="F247" s="418"/>
      <c r="G247" s="422"/>
      <c r="H247" s="536" t="s">
        <v>12</v>
      </c>
      <c r="I247" s="427"/>
      <c r="J247" s="427"/>
      <c r="K247" s="428"/>
      <c r="L247" s="521">
        <f ca="1">IFERROR(__xludf.DUMMYFUNCTION("IMPORTRANGE(""https://docs.google.com/spreadsheets/d/1eHaY18a8A9IcSdp1K8H6x8fbOy06t2VsZHhMHf-1x7Y/edit?usp=sharing"",""แผน!BA49"")"),0)</f>
        <v>0</v>
      </c>
      <c r="M247" s="428"/>
      <c r="N247" s="672">
        <v>0</v>
      </c>
      <c r="O247" s="428"/>
      <c r="P247" s="428"/>
    </row>
    <row r="248" spans="1:16" ht="19.5" hidden="1" x14ac:dyDescent="0.3">
      <c r="A248" s="532"/>
      <c r="B248" s="430"/>
      <c r="C248" s="671" t="s">
        <v>16</v>
      </c>
      <c r="D248" s="530" t="s">
        <v>36</v>
      </c>
      <c r="E248" s="529"/>
      <c r="F248" s="529"/>
      <c r="G248" s="528"/>
      <c r="H248" s="527"/>
      <c r="I248" s="526"/>
      <c r="J248" s="427"/>
      <c r="K248" s="428"/>
      <c r="L248" s="428"/>
      <c r="M248" s="428"/>
      <c r="N248" s="428"/>
      <c r="O248" s="525"/>
      <c r="P248" s="525"/>
    </row>
    <row r="249" spans="1:16" ht="18.75" hidden="1" x14ac:dyDescent="0.25">
      <c r="A249" s="532"/>
      <c r="B249" s="430"/>
      <c r="C249" s="430"/>
      <c r="D249" s="524" t="s">
        <v>102</v>
      </c>
      <c r="E249" s="420"/>
      <c r="F249" s="420"/>
      <c r="G249" s="527"/>
      <c r="H249" s="668" t="s">
        <v>33</v>
      </c>
      <c r="I249" s="199">
        <f ca="1">IFERROR(__xludf.DUMMYFUNCTION("IMPORTRANGE(""https://docs.google.com/spreadsheets/d/1eHaY18a8A9IcSdp1K8H6x8fbOy06t2VsZHhMHf-1x7Y/edit?usp=sharing"",""แผน!BG49"")"),0)</f>
        <v>0</v>
      </c>
      <c r="J249" s="522">
        <v>0</v>
      </c>
      <c r="K249" s="521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2"/>
      <c r="B250" s="430"/>
      <c r="C250" s="430"/>
      <c r="D250" s="670" t="s">
        <v>41</v>
      </c>
      <c r="E250" s="420"/>
      <c r="F250" s="420"/>
      <c r="G250" s="527"/>
      <c r="H250" s="527"/>
      <c r="I250" s="427"/>
      <c r="J250" s="427"/>
      <c r="K250" s="428"/>
      <c r="L250" s="428"/>
      <c r="M250" s="428"/>
      <c r="N250" s="428"/>
      <c r="O250" s="525"/>
      <c r="P250" s="525"/>
    </row>
    <row r="251" spans="1:16" ht="18.75" hidden="1" x14ac:dyDescent="0.25">
      <c r="A251" s="532"/>
      <c r="B251" s="430"/>
      <c r="C251" s="430"/>
      <c r="D251" s="430"/>
      <c r="E251" s="669" t="s">
        <v>103</v>
      </c>
      <c r="F251" s="420"/>
      <c r="G251" s="527"/>
      <c r="H251" s="668" t="s">
        <v>33</v>
      </c>
      <c r="I251" s="199">
        <v>0</v>
      </c>
      <c r="J251" s="522">
        <v>0</v>
      </c>
      <c r="K251" s="521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2"/>
      <c r="B252" s="430"/>
      <c r="C252" s="430"/>
      <c r="D252" s="430"/>
      <c r="E252" s="669" t="s">
        <v>104</v>
      </c>
      <c r="F252" s="420"/>
      <c r="G252" s="527"/>
      <c r="H252" s="668" t="s">
        <v>54</v>
      </c>
      <c r="I252" s="199">
        <v>0</v>
      </c>
      <c r="J252" s="522">
        <v>0</v>
      </c>
      <c r="K252" s="521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78" t="s">
        <v>106</v>
      </c>
      <c r="D253" s="433"/>
      <c r="E253" s="433"/>
      <c r="F253" s="433"/>
      <c r="G253" s="436"/>
      <c r="H253" s="677" t="s">
        <v>33</v>
      </c>
      <c r="I253" s="676">
        <f ca="1">I260</f>
        <v>0</v>
      </c>
      <c r="J253" s="676">
        <f>J260</f>
        <v>0</v>
      </c>
      <c r="K253" s="675">
        <f ca="1">IF(I253&gt;0,J253*100/I253,0)</f>
        <v>0</v>
      </c>
      <c r="L253" s="571"/>
      <c r="M253" s="571"/>
      <c r="N253" s="571"/>
      <c r="O253" s="571"/>
      <c r="P253" s="571"/>
    </row>
    <row r="254" spans="1:16" ht="19.5" hidden="1" x14ac:dyDescent="0.3">
      <c r="A254" s="535"/>
      <c r="B254" s="418"/>
      <c r="C254" s="531" t="s">
        <v>16</v>
      </c>
      <c r="D254" s="674" t="s">
        <v>17</v>
      </c>
      <c r="E254" s="418"/>
      <c r="F254" s="418"/>
      <c r="G254" s="422"/>
      <c r="H254" s="673" t="s">
        <v>12</v>
      </c>
      <c r="I254" s="526"/>
      <c r="J254" s="526"/>
      <c r="K254" s="525"/>
      <c r="L254" s="539">
        <f ca="1">L255+L256+L257+L258</f>
        <v>0</v>
      </c>
      <c r="M254" s="428"/>
      <c r="N254" s="539">
        <f>N255+N256+N257+N258</f>
        <v>0</v>
      </c>
      <c r="O254" s="539">
        <f ca="1">IF(L254&gt;0,N254*100/L254,0)</f>
        <v>0</v>
      </c>
      <c r="P254" s="539">
        <f>IF(M254&gt;0,N254*100/M254,0)</f>
        <v>0</v>
      </c>
    </row>
    <row r="255" spans="1:16" ht="18.75" hidden="1" x14ac:dyDescent="0.25">
      <c r="A255" s="535"/>
      <c r="B255" s="419"/>
      <c r="C255" s="418"/>
      <c r="D255" s="534" t="s">
        <v>80</v>
      </c>
      <c r="E255" s="418"/>
      <c r="F255" s="418"/>
      <c r="G255" s="422"/>
      <c r="H255" s="536" t="s">
        <v>12</v>
      </c>
      <c r="I255" s="526"/>
      <c r="J255" s="526"/>
      <c r="K255" s="525"/>
      <c r="L255" s="521">
        <f ca="1">IFERROR(__xludf.DUMMYFUNCTION("IMPORTRANGE(""https://docs.google.com/spreadsheets/d/1eHaY18a8A9IcSdp1K8H6x8fbOy06t2VsZHhMHf-1x7Y/edit?usp=sharing"",""แผน!BB49"")"),0)</f>
        <v>0</v>
      </c>
      <c r="M255" s="428"/>
      <c r="N255" s="672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34" t="s">
        <v>82</v>
      </c>
      <c r="E256" s="418"/>
      <c r="F256" s="418"/>
      <c r="G256" s="422"/>
      <c r="H256" s="536" t="s">
        <v>12</v>
      </c>
      <c r="I256" s="427"/>
      <c r="J256" s="427"/>
      <c r="K256" s="428"/>
      <c r="L256" s="521">
        <f ca="1">IFERROR(__xludf.DUMMYFUNCTION("IMPORTRANGE(""https://docs.google.com/spreadsheets/d/1eHaY18a8A9IcSdp1K8H6x8fbOy06t2VsZHhMHf-1x7Y/edit?usp=sharing"",""แผน!BC49"")"),0)</f>
        <v>0</v>
      </c>
      <c r="M256" s="428"/>
      <c r="N256" s="672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34" t="s">
        <v>100</v>
      </c>
      <c r="E257" s="418"/>
      <c r="F257" s="418"/>
      <c r="G257" s="422"/>
      <c r="H257" s="536" t="s">
        <v>12</v>
      </c>
      <c r="I257" s="427"/>
      <c r="J257" s="427"/>
      <c r="K257" s="428"/>
      <c r="L257" s="521">
        <f ca="1">IFERROR(__xludf.DUMMYFUNCTION("IMPORTRANGE(""https://docs.google.com/spreadsheets/d/1eHaY18a8A9IcSdp1K8H6x8fbOy06t2VsZHhMHf-1x7Y/edit?usp=sharing"",""แผน!BD49"")"),0)</f>
        <v>0</v>
      </c>
      <c r="M257" s="428"/>
      <c r="N257" s="672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34" t="s">
        <v>101</v>
      </c>
      <c r="E258" s="418"/>
      <c r="F258" s="418"/>
      <c r="G258" s="422"/>
      <c r="H258" s="536" t="s">
        <v>12</v>
      </c>
      <c r="I258" s="427"/>
      <c r="J258" s="427"/>
      <c r="K258" s="428"/>
      <c r="L258" s="521">
        <f ca="1">IFERROR(__xludf.DUMMYFUNCTION("IMPORTRANGE(""https://docs.google.com/spreadsheets/d/1eHaY18a8A9IcSdp1K8H6x8fbOy06t2VsZHhMHf-1x7Y/edit?usp=sharing"",""แผน!BE49"")"),0)</f>
        <v>0</v>
      </c>
      <c r="M258" s="428"/>
      <c r="N258" s="672">
        <v>0</v>
      </c>
      <c r="O258" s="428"/>
      <c r="P258" s="428"/>
    </row>
    <row r="259" spans="1:16" ht="19.5" hidden="1" x14ac:dyDescent="0.3">
      <c r="A259" s="532"/>
      <c r="B259" s="430"/>
      <c r="C259" s="671" t="s">
        <v>16</v>
      </c>
      <c r="D259" s="530" t="s">
        <v>36</v>
      </c>
      <c r="E259" s="529"/>
      <c r="F259" s="529"/>
      <c r="G259" s="528"/>
      <c r="H259" s="527"/>
      <c r="I259" s="526"/>
      <c r="J259" s="427"/>
      <c r="K259" s="428"/>
      <c r="L259" s="428"/>
      <c r="M259" s="428"/>
      <c r="N259" s="428"/>
      <c r="O259" s="525"/>
      <c r="P259" s="525"/>
    </row>
    <row r="260" spans="1:16" ht="18.75" hidden="1" x14ac:dyDescent="0.25">
      <c r="A260" s="532"/>
      <c r="B260" s="430"/>
      <c r="C260" s="430"/>
      <c r="D260" s="524" t="s">
        <v>102</v>
      </c>
      <c r="E260" s="420"/>
      <c r="F260" s="420"/>
      <c r="G260" s="527"/>
      <c r="H260" s="668" t="s">
        <v>33</v>
      </c>
      <c r="I260" s="199">
        <f ca="1">IFERROR(__xludf.DUMMYFUNCTION("IMPORTRANGE(""https://docs.google.com/spreadsheets/d/1eHaY18a8A9IcSdp1K8H6x8fbOy06t2VsZHhMHf-1x7Y/edit?usp=sharing"",""แผน!BH49"")"),0)</f>
        <v>0</v>
      </c>
      <c r="J260" s="522">
        <v>0</v>
      </c>
      <c r="K260" s="521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2"/>
      <c r="B261" s="430"/>
      <c r="C261" s="430"/>
      <c r="D261" s="670" t="s">
        <v>41</v>
      </c>
      <c r="E261" s="420"/>
      <c r="F261" s="420"/>
      <c r="G261" s="527"/>
      <c r="H261" s="527"/>
      <c r="I261" s="427"/>
      <c r="J261" s="427"/>
      <c r="K261" s="428"/>
      <c r="L261" s="428"/>
      <c r="M261" s="428"/>
      <c r="N261" s="428"/>
      <c r="O261" s="525"/>
      <c r="P261" s="525"/>
    </row>
    <row r="262" spans="1:16" ht="18.75" hidden="1" x14ac:dyDescent="0.25">
      <c r="A262" s="532"/>
      <c r="B262" s="430"/>
      <c r="C262" s="430"/>
      <c r="D262" s="430"/>
      <c r="E262" s="669" t="s">
        <v>103</v>
      </c>
      <c r="F262" s="420"/>
      <c r="G262" s="527"/>
      <c r="H262" s="668" t="s">
        <v>33</v>
      </c>
      <c r="I262" s="427"/>
      <c r="J262" s="522">
        <v>0</v>
      </c>
      <c r="K262" s="521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2"/>
      <c r="B263" s="430"/>
      <c r="C263" s="430"/>
      <c r="D263" s="430"/>
      <c r="E263" s="669" t="s">
        <v>104</v>
      </c>
      <c r="F263" s="420"/>
      <c r="G263" s="527"/>
      <c r="H263" s="668" t="s">
        <v>54</v>
      </c>
      <c r="I263" s="427"/>
      <c r="J263" s="522">
        <v>0</v>
      </c>
      <c r="K263" s="521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IFERROR(__xludf.DUMMYFUNCTION("IMPORTRANGE(""https://docs.google.com/spreadsheets/d/1-uDff_7J0KD5mKrp0Vvzr7lt3OU09vwQwhkpOPPYv2Y/edit?usp=sharing"",""งบพรบ!DE49"")"),0)</f>
        <v>0</v>
      </c>
      <c r="M271" s="521">
        <f ca="1">IFERROR(__xludf.DUMMYFUNCTION("IMPORTRANGE(""https://docs.google.com/spreadsheets/d/1-uDff_7J0KD5mKrp0Vvzr7lt3OU09vwQwhkpOPPYv2Y/edit?usp=sharing"",""งบพรบ!DJ49"")"),0)</f>
        <v>0</v>
      </c>
      <c r="N271" s="521">
        <f ca="1">IFERROR(__xludf.DUMMYFUNCTION("IMPORTRANGE(""https://docs.google.com/spreadsheets/d/1-uDff_7J0KD5mKrp0Vvzr7lt3OU09vwQwhkpOPPYv2Y/edit?usp=sharing"",""งบพรบ!DL49"")"),0)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IFERROR(__xludf.DUMMYFUNCTION("IMPORTRANGE(""https://docs.google.com/spreadsheets/d/1-uDff_7J0KD5mKrp0Vvzr7lt3OU09vwQwhkpOPPYv2Y/edit?usp=sharing"",""งบพรบ!DH49"")"),0)</f>
        <v>0</v>
      </c>
      <c r="M274" s="521">
        <f ca="1">IFERROR(__xludf.DUMMYFUNCTION("IMPORTRANGE(""https://docs.google.com/spreadsheets/d/1-uDff_7J0KD5mKrp0Vvzr7lt3OU09vwQwhkpOPPYv2Y/edit?usp=sharing"",""งบพรบ!DK49"")"),0)</f>
        <v>0</v>
      </c>
      <c r="N274" s="521">
        <f ca="1">IFERROR(__xludf.DUMMYFUNCTION("IMPORTRANGE(""https://docs.google.com/spreadsheets/d/1-uDff_7J0KD5mKrp0Vvzr7lt3OU09vwQwhkpOPPYv2Y/edit?usp=sharing"",""งบพรบ!DM49"")"),0)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hidden="1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hidden="1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hidden="1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0</v>
      </c>
      <c r="J280" s="629">
        <f>J293</f>
        <v>0</v>
      </c>
      <c r="K280" s="628">
        <f ca="1">IF(I280&gt;0,J280*100/I280,0)</f>
        <v>0</v>
      </c>
      <c r="L280" s="627"/>
      <c r="M280" s="627"/>
      <c r="N280" s="627"/>
      <c r="O280" s="627"/>
      <c r="P280" s="627"/>
    </row>
    <row r="281" spans="1:16" ht="19.5" hidden="1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0</v>
      </c>
      <c r="J281" s="629">
        <f>J292</f>
        <v>0</v>
      </c>
      <c r="K281" s="628">
        <f ca="1">IF(I281&gt;0,J281*100/I281,0)</f>
        <v>0</v>
      </c>
      <c r="L281" s="627"/>
      <c r="M281" s="627"/>
      <c r="N281" s="627"/>
      <c r="O281" s="627"/>
      <c r="P281" s="627"/>
    </row>
    <row r="282" spans="1:16" ht="19.5" hidden="1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0</v>
      </c>
      <c r="M282" s="577">
        <f ca="1">M283+M284</f>
        <v>0</v>
      </c>
      <c r="N282" s="577">
        <f ca="1">N283+N284</f>
        <v>0</v>
      </c>
      <c r="O282" s="577">
        <f ca="1">IF(L282&gt;0,N282*100/L282,0)</f>
        <v>0</v>
      </c>
      <c r="P282" s="577">
        <f ca="1">IF(M282&gt;0,N282*100/M282,0)</f>
        <v>0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hidden="1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0</v>
      </c>
      <c r="M284" s="425">
        <f ca="1">M287+M290</f>
        <v>0</v>
      </c>
      <c r="N284" s="425">
        <f ca="1">N287+N290</f>
        <v>0</v>
      </c>
      <c r="O284" s="425">
        <f ca="1">IF(L284&gt;0,N284*100/L284,0)</f>
        <v>0</v>
      </c>
      <c r="P284" s="425">
        <f ca="1">IF(M284&gt;0,N284*100/M284,0)</f>
        <v>0</v>
      </c>
    </row>
    <row r="285" spans="1:16" ht="18.75" hidden="1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0</v>
      </c>
      <c r="M285" s="425">
        <f ca="1">M286+M287</f>
        <v>0</v>
      </c>
      <c r="N285" s="425">
        <f ca="1">N286+N287</f>
        <v>0</v>
      </c>
      <c r="O285" s="425">
        <f ca="1">IF(L285&gt;0,N285*100/L285,0)</f>
        <v>0</v>
      </c>
      <c r="P285" s="425">
        <f ca="1">IF(M285&gt;0,N285*100/M285,0)</f>
        <v>0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hidden="1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IFERROR(__xludf.DUMMYFUNCTION("IMPORTRANGE(""https://docs.google.com/spreadsheets/d/1-uDff_7J0KD5mKrp0Vvzr7lt3OU09vwQwhkpOPPYv2Y/edit?usp=sharing"",""งบพรบ!DO49"")"),0)</f>
        <v>0</v>
      </c>
      <c r="M287" s="425">
        <f ca="1">IFERROR(__xludf.DUMMYFUNCTION("IMPORTRANGE(""https://docs.google.com/spreadsheets/d/1-uDff_7J0KD5mKrp0Vvzr7lt3OU09vwQwhkpOPPYv2Y/edit?usp=sharing"",""งบพรบ!DT49"")"),0)</f>
        <v>0</v>
      </c>
      <c r="N287" s="425">
        <f ca="1">IFERROR(__xludf.DUMMYFUNCTION("IMPORTRANGE(""https://docs.google.com/spreadsheets/d/1-uDff_7J0KD5mKrp0Vvzr7lt3OU09vwQwhkpOPPYv2Y/edit?usp=sharing"",""งบพรบ!DV49"")"),0)</f>
        <v>0</v>
      </c>
      <c r="O287" s="425">
        <f ca="1">IF(L287&gt;0,N287*100/L287,0)</f>
        <v>0</v>
      </c>
      <c r="P287" s="425">
        <f ca="1">IF(M287&gt;0,N287*100/M287,0)</f>
        <v>0</v>
      </c>
    </row>
    <row r="288" spans="1:16" ht="18.75" hidden="1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hidden="1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IFERROR(__xludf.DUMMYFUNCTION("IMPORTRANGE(""https://docs.google.com/spreadsheets/d/1-uDff_7J0KD5mKrp0Vvzr7lt3OU09vwQwhkpOPPYv2Y/edit?usp=sharing"",""งบพรบ!DR49"")"),0)</f>
        <v>0</v>
      </c>
      <c r="M290" s="425">
        <f ca="1">IFERROR(__xludf.DUMMYFUNCTION("IMPORTRANGE(""https://docs.google.com/spreadsheets/d/1-uDff_7J0KD5mKrp0Vvzr7lt3OU09vwQwhkpOPPYv2Y/edit?usp=sharing"",""งบพรบ!DU49"")"),0)</f>
        <v>0</v>
      </c>
      <c r="N290" s="425">
        <f ca="1">IFERROR(__xludf.DUMMYFUNCTION("IMPORTRANGE(""https://docs.google.com/spreadsheets/d/1-uDff_7J0KD5mKrp0Vvzr7lt3OU09vwQwhkpOPPYv2Y/edit?usp=sharing"",""งบพรบ!DW49"")"),0)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hidden="1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hidden="1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IFERROR(__xludf.DUMMYFUNCTION("IMPORTRANGE(""https://docs.google.com/spreadsheets/d/1eHaY18a8A9IcSdp1K8H6x8fbOy06t2VsZHhMHf-1x7Y/edit?usp=sharing"",""แผน!EE49"")"),0)</f>
        <v>0</v>
      </c>
      <c r="J292" s="595">
        <v>0</v>
      </c>
      <c r="K292" s="621">
        <f ca="1">IF(I292&gt;0,J292*100/I292,0)</f>
        <v>0</v>
      </c>
      <c r="L292" s="525"/>
      <c r="M292" s="525"/>
      <c r="N292" s="525"/>
      <c r="O292" s="525"/>
      <c r="P292" s="525"/>
    </row>
    <row r="293" spans="1:16" ht="19.5" hidden="1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IFERROR(__xludf.DUMMYFUNCTION("IMPORTRANGE(""https://docs.google.com/spreadsheets/d/1eHaY18a8A9IcSdp1K8H6x8fbOy06t2VsZHhMHf-1x7Y/edit?usp=sharing"",""แผน!ED49"")"),0)</f>
        <v>0</v>
      </c>
      <c r="J293" s="625">
        <f>J296</f>
        <v>0</v>
      </c>
      <c r="K293" s="624">
        <f ca="1">IF(I293&gt;0,J293*100/I293,0)</f>
        <v>0</v>
      </c>
      <c r="L293" s="525"/>
      <c r="M293" s="525"/>
      <c r="N293" s="525"/>
      <c r="O293" s="525"/>
      <c r="P293" s="525"/>
    </row>
    <row r="294" spans="1:16" ht="19.5" hidden="1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hidden="1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IFERROR(__xludf.DUMMYFUNCTION("IMPORTRANGE(""https://docs.google.com/spreadsheets/d/1eHaY18a8A9IcSdp1K8H6x8fbOy06t2VsZHhMHf-1x7Y/edit?usp=sharing"",""แผน!ED49"")"),0)</f>
        <v>0</v>
      </c>
      <c r="J295" s="595">
        <v>0</v>
      </c>
      <c r="K295" s="621">
        <f ca="1">IF(I295&gt;0,J295*100/I295,0)</f>
        <v>0</v>
      </c>
      <c r="L295" s="525"/>
      <c r="M295" s="525"/>
      <c r="N295" s="525"/>
      <c r="O295" s="525"/>
      <c r="P295" s="525"/>
    </row>
    <row r="296" spans="1:16" ht="19.5" hidden="1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IFERROR(__xludf.DUMMYFUNCTION("IMPORTRANGE(""https://docs.google.com/spreadsheets/d/1eHaY18a8A9IcSdp1K8H6x8fbOy06t2VsZHhMHf-1x7Y/edit?usp=sharing"",""แผน!ED49"")"),0)</f>
        <v>0</v>
      </c>
      <c r="J296" s="595">
        <v>0</v>
      </c>
      <c r="K296" s="621">
        <f ca="1">IF(I296&gt;0,J296*100/I296,0)</f>
        <v>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hidden="1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hidden="1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hidden="1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0</v>
      </c>
      <c r="J302" s="598">
        <f>J314</f>
        <v>0</v>
      </c>
      <c r="K302" s="597">
        <f ca="1">IF(I302&gt;0,J302*100/I302,0)</f>
        <v>0</v>
      </c>
      <c r="L302" s="580"/>
      <c r="M302" s="580"/>
      <c r="N302" s="580"/>
      <c r="O302" s="580"/>
      <c r="P302" s="580"/>
    </row>
    <row r="303" spans="1:16" ht="19.5" hidden="1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0</v>
      </c>
      <c r="M303" s="577">
        <f ca="1">M304+M305</f>
        <v>0</v>
      </c>
      <c r="N303" s="577">
        <f ca="1">N304+N305</f>
        <v>0</v>
      </c>
      <c r="O303" s="577">
        <f ca="1">IF(L303&gt;0,N303*100/L303,0)</f>
        <v>0</v>
      </c>
      <c r="P303" s="577">
        <f ca="1">IF(M303&gt;0,N303*100/M303,0)</f>
        <v>0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hidden="1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0</v>
      </c>
      <c r="M305" s="425">
        <f ca="1">M308+M311</f>
        <v>0</v>
      </c>
      <c r="N305" s="425">
        <f ca="1">N308+N311</f>
        <v>0</v>
      </c>
      <c r="O305" s="425">
        <f ca="1">IF(L305&gt;0,N305*100/L305,0)</f>
        <v>0</v>
      </c>
      <c r="P305" s="425">
        <f ca="1">IF(M305&gt;0,N305*100/M305,0)</f>
        <v>0</v>
      </c>
    </row>
    <row r="306" spans="1:16" ht="18.75" hidden="1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0</v>
      </c>
      <c r="M306" s="425">
        <f ca="1">M307+M308</f>
        <v>0</v>
      </c>
      <c r="N306" s="425">
        <f ca="1">N307+N308</f>
        <v>0</v>
      </c>
      <c r="O306" s="425">
        <f ca="1">IF(L306&gt;0,N306*100/L306,0)</f>
        <v>0</v>
      </c>
      <c r="P306" s="425">
        <f ca="1">IF(M306&gt;0,N306*100/M306,0)</f>
        <v>0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hidden="1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IFERROR(__xludf.DUMMYFUNCTION("IMPORTRANGE(""https://docs.google.com/spreadsheets/d/1-uDff_7J0KD5mKrp0Vvzr7lt3OU09vwQwhkpOPPYv2Y/edit?usp=sharing"",""งบพรบ!DY49"")"),0)</f>
        <v>0</v>
      </c>
      <c r="M308" s="425">
        <f ca="1">IFERROR(__xludf.DUMMYFUNCTION("IMPORTRANGE(""https://docs.google.com/spreadsheets/d/1-uDff_7J0KD5mKrp0Vvzr7lt3OU09vwQwhkpOPPYv2Y/edit?usp=sharing"",""งบพรบ!ED49"")"),0)</f>
        <v>0</v>
      </c>
      <c r="N308" s="425">
        <f ca="1">IFERROR(__xludf.DUMMYFUNCTION("IMPORTRANGE(""https://docs.google.com/spreadsheets/d/1-uDff_7J0KD5mKrp0Vvzr7lt3OU09vwQwhkpOPPYv2Y/edit?usp=sharing"",""งบพรบ!EF49"")"),0)</f>
        <v>0</v>
      </c>
      <c r="O308" s="425">
        <f ca="1">IF(L308&gt;0,N308*100/L308,0)</f>
        <v>0</v>
      </c>
      <c r="P308" s="425">
        <f ca="1">IF(M308&gt;0,N308*100/M308,0)</f>
        <v>0</v>
      </c>
    </row>
    <row r="309" spans="1:16" ht="18.75" hidden="1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hidden="1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IFERROR(__xludf.DUMMYFUNCTION("IMPORTRANGE(""https://docs.google.com/spreadsheets/d/1-uDff_7J0KD5mKrp0Vvzr7lt3OU09vwQwhkpOPPYv2Y/edit?usp=sharing"",""งบพรบ!EB49"")"),0)</f>
        <v>0</v>
      </c>
      <c r="M311" s="425">
        <f ca="1">IFERROR(__xludf.DUMMYFUNCTION("IMPORTRANGE(""https://docs.google.com/spreadsheets/d/1-uDff_7J0KD5mKrp0Vvzr7lt3OU09vwQwhkpOPPYv2Y/edit?usp=sharing"",""งบพรบ!EE49"")"),0)</f>
        <v>0</v>
      </c>
      <c r="N311" s="425">
        <f ca="1">IFERROR(__xludf.DUMMYFUNCTION("IMPORTRANGE(""https://docs.google.com/spreadsheets/d/1-uDff_7J0KD5mKrp0Vvzr7lt3OU09vwQwhkpOPPYv2Y/edit?usp=sharing"",""งบพรบ!EG49"")"),0)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hidden="1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hidden="1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0</v>
      </c>
      <c r="K313" s="428"/>
      <c r="L313" s="428"/>
      <c r="M313" s="428"/>
      <c r="N313" s="428"/>
      <c r="O313" s="428"/>
      <c r="P313" s="428"/>
    </row>
    <row r="314" spans="1:16" ht="18.75" hidden="1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IFERROR(__xludf.DUMMYFUNCTION("IMPORTRANGE(""https://docs.google.com/spreadsheets/d/1eHaY18a8A9IcSdp1K8H6x8fbOy06t2VsZHhMHf-1x7Y/edit?usp=sharing"",""แผน!EF49"")"),0)</f>
        <v>0</v>
      </c>
      <c r="J314" s="595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hidden="1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IFERROR(__xludf.DUMMYFUNCTION("IMPORTRANGE(""https://docs.google.com/spreadsheets/d/1eHaY18a8A9IcSdp1K8H6x8fbOy06t2VsZHhMHf-1x7Y/edit?usp=sharing"",""แผน!EG49"")"),0)</f>
        <v>0</v>
      </c>
      <c r="J315" s="595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hidden="1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IFERROR(__xludf.DUMMYFUNCTION("IMPORTRANGE(""https://docs.google.com/spreadsheets/d/1eHaY18a8A9IcSdp1K8H6x8fbOy06t2VsZHhMHf-1x7Y/edit?usp=sharing"",""แผน!EH49"")"),0)</f>
        <v>0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199">
        <f ca="1">IFERROR(__xludf.DUMMYFUNCTION("IMPORTRANGE(""https://docs.google.com/spreadsheets/d/1eHaY18a8A9IcSdp1K8H6x8fbOy06t2VsZHhMHf-1x7Y/edit?usp=sharing"",""แผน!EI49"")"),0)</f>
        <v>0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hidden="1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0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hidden="1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0</v>
      </c>
      <c r="M320" s="577">
        <f ca="1">M321+M322</f>
        <v>0</v>
      </c>
      <c r="N320" s="577">
        <f ca="1">N321+N322</f>
        <v>0</v>
      </c>
      <c r="O320" s="577">
        <f ca="1">IF(L320&gt;0,N320*100/L320,0)</f>
        <v>0</v>
      </c>
      <c r="P320" s="577">
        <f ca="1">IF(M320&gt;0,N320*100/M320,0)</f>
        <v>0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hidden="1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hidden="1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IFERROR(__xludf.DUMMYFUNCTION("IMPORTRANGE(""https://docs.google.com/spreadsheets/d/1-uDff_7J0KD5mKrp0Vvzr7lt3OU09vwQwhkpOPPYv2Y/edit?usp=sharing"",""งบพรบ!EI49"")"),0)</f>
        <v>0</v>
      </c>
      <c r="M325" s="425">
        <f ca="1">IFERROR(__xludf.DUMMYFUNCTION("IMPORTRANGE(""https://docs.google.com/spreadsheets/d/1-uDff_7J0KD5mKrp0Vvzr7lt3OU09vwQwhkpOPPYv2Y/edit?usp=sharing"",""งบพรบ!EN49"")"),0)</f>
        <v>0</v>
      </c>
      <c r="N325" s="425">
        <f ca="1">IFERROR(__xludf.DUMMYFUNCTION("IMPORTRANGE(""https://docs.google.com/spreadsheets/d/1-uDff_7J0KD5mKrp0Vvzr7lt3OU09vwQwhkpOPPYv2Y/edit?usp=sharing"",""งบพรบ!EP49"")"),0)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hidden="1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IFERROR(__xludf.DUMMYFUNCTION("IMPORTRANGE(""https://docs.google.com/spreadsheets/d/1-uDff_7J0KD5mKrp0Vvzr7lt3OU09vwQwhkpOPPYv2Y/edit?usp=sharing"",""งบพรบ!EL49"")"),0)</f>
        <v>0</v>
      </c>
      <c r="M328" s="425">
        <f ca="1">IFERROR(__xludf.DUMMYFUNCTION("IMPORTRANGE(""https://docs.google.com/spreadsheets/d/1-uDff_7J0KD5mKrp0Vvzr7lt3OU09vwQwhkpOPPYv2Y/edit?usp=sharing"",""งบพรบ!EO49"")"),0)</f>
        <v>0</v>
      </c>
      <c r="N328" s="425">
        <f ca="1">IFERROR(__xludf.DUMMYFUNCTION("IMPORTRANGE(""https://docs.google.com/spreadsheets/d/1-uDff_7J0KD5mKrp0Vvzr7lt3OU09vwQwhkpOPPYv2Y/edit?usp=sharing"",""งบพรบ!EQ49"")"),0)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hidden="1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IFERROR(__xludf.DUMMYFUNCTION("IMPORTRANGE(""https://docs.google.com/spreadsheets/d/1eHaY18a8A9IcSdp1K8H6x8fbOy06t2VsZHhMHf-1x7Y/edit?usp=sharing"",""แผน!EJ49"")"),0)</f>
        <v>0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1260</v>
      </c>
      <c r="J332" s="402">
        <f ca="1">J344+J347+J348+J349+J353</f>
        <v>1740</v>
      </c>
      <c r="K332" s="403">
        <f ca="1">IF(I332&gt;0,J332*100/I332,0)</f>
        <v>138.0952380952381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106000</v>
      </c>
      <c r="M333" s="577">
        <f ca="1">M334+M335</f>
        <v>85750</v>
      </c>
      <c r="N333" s="577">
        <f ca="1">N334+N335</f>
        <v>12840</v>
      </c>
      <c r="O333" s="577">
        <f ca="1">IF(L333&gt;0,N333*100/L333,0)</f>
        <v>12.113207547169811</v>
      </c>
      <c r="P333" s="577">
        <f ca="1">IF(M333&gt;0,N333*100/M333,0)</f>
        <v>14.973760932944606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106000</v>
      </c>
      <c r="M335" s="425">
        <f ca="1">M338+M341</f>
        <v>85750</v>
      </c>
      <c r="N335" s="425">
        <f ca="1">N338+N341</f>
        <v>12840</v>
      </c>
      <c r="O335" s="425">
        <f ca="1">IF(L335&gt;0,N335*100/L335,0)</f>
        <v>12.113207547169811</v>
      </c>
      <c r="P335" s="425">
        <f ca="1">IF(M335&gt;0,N335*100/M335,0)</f>
        <v>14.973760932944606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106000</v>
      </c>
      <c r="M336" s="425">
        <f ca="1">M337+M338</f>
        <v>85750</v>
      </c>
      <c r="N336" s="425">
        <f ca="1">N337+N338</f>
        <v>12840</v>
      </c>
      <c r="O336" s="425">
        <f ca="1">IF(L336&gt;0,N336*100/L336,0)</f>
        <v>12.113207547169811</v>
      </c>
      <c r="P336" s="425">
        <f ca="1">IF(M336&gt;0,N336*100/M336,0)</f>
        <v>14.973760932944606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IFERROR(__xludf.DUMMYFUNCTION("IMPORTRANGE(""https://docs.google.com/spreadsheets/d/1-uDff_7J0KD5mKrp0Vvzr7lt3OU09vwQwhkpOPPYv2Y/edit?usp=sharing"",""งบพรบ!ES49"")"),106000)</f>
        <v>106000</v>
      </c>
      <c r="M338" s="425">
        <f ca="1">IFERROR(__xludf.DUMMYFUNCTION("IMPORTRANGE(""https://docs.google.com/spreadsheets/d/1-uDff_7J0KD5mKrp0Vvzr7lt3OU09vwQwhkpOPPYv2Y/edit?usp=sharing"",""งบพรบ!EX49"")"),85750)</f>
        <v>85750</v>
      </c>
      <c r="N338" s="425">
        <f ca="1">IFERROR(__xludf.DUMMYFUNCTION("IMPORTRANGE(""https://docs.google.com/spreadsheets/d/1-uDff_7J0KD5mKrp0Vvzr7lt3OU09vwQwhkpOPPYv2Y/edit?usp=sharing"",""งบพรบ!EZ49"")"),12840)</f>
        <v>12840</v>
      </c>
      <c r="O338" s="425">
        <f ca="1">IF(L338&gt;0,N338*100/L338,0)</f>
        <v>12.113207547169811</v>
      </c>
      <c r="P338" s="425">
        <f ca="1">IF(M338&gt;0,N338*100/M338,0)</f>
        <v>14.973760932944606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IFERROR(__xludf.DUMMYFUNCTION("IMPORTRANGE(""https://docs.google.com/spreadsheets/d/1-uDff_7J0KD5mKrp0Vvzr7lt3OU09vwQwhkpOPPYv2Y/edit?usp=sharing"",""งบพรบ!EV49"")"),0)</f>
        <v>0</v>
      </c>
      <c r="M341" s="425">
        <f ca="1">IFERROR(__xludf.DUMMYFUNCTION("IMPORTRANGE(""https://docs.google.com/spreadsheets/d/1-uDff_7J0KD5mKrp0Vvzr7lt3OU09vwQwhkpOPPYv2Y/edit?usp=sharing"",""งบพรบ!EY49"")"),0)</f>
        <v>0</v>
      </c>
      <c r="N341" s="425">
        <f ca="1">IFERROR(__xludf.DUMMYFUNCTION("IMPORTRANGE(""https://docs.google.com/spreadsheets/d/1-uDff_7J0KD5mKrp0Vvzr7lt3OU09vwQwhkpOPPYv2Y/edit?usp=sharing"",""งบพรบ!FA49"")"),0)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839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IFERROR(__xludf.DUMMYFUNCTION("IMPORTRANGE(""https://docs.google.com/spreadsheets/d/1eHaY18a8A9IcSdp1K8H6x8fbOy06t2VsZHhMHf-1x7Y/edit?usp=sharing"",""แผน!EK49"")"),1260)</f>
        <v>1260</v>
      </c>
      <c r="J344" s="424">
        <f ca="1">IFERROR(__xludf.DUMMYFUNCTION("IMPORTRANGE(""https://docs.google.com/spreadsheets/d/1awYsYK3VOup2i3Pq_Yjnu8DRu_mYwSBnCR2QPthd0rU/edit?usp=sharing"",""ศูนย์ยกเว้นโฉนด!D49"")"),619)</f>
        <v>619</v>
      </c>
      <c r="K344" s="425">
        <f ca="1">IF(I344&gt;0,J344*100/I344,0)</f>
        <v>49.126984126984127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IFERROR(__xludf.DUMMYFUNCTION("IMPORTRANGE(""https://docs.google.com/spreadsheets/d/1eHaY18a8A9IcSdp1K8H6x8fbOy06t2VsZHhMHf-1x7Y/edit?usp=sharing"",""แผน!EL49"")"),3)</f>
        <v>3</v>
      </c>
      <c r="J346" s="424">
        <f ca="1">IFERROR(__xludf.DUMMYFUNCTION("IMPORTRANGE(""https://docs.google.com/spreadsheets/d/1awYsYK3VOup2i3Pq_Yjnu8DRu_mYwSBnCR2QPthd0rU/edit?usp=sharing"",""ศูนย์รวม!E49"")"),1)</f>
        <v>1</v>
      </c>
      <c r="K346" s="425">
        <f ca="1">IF(I346&gt;0,J346*100/I346,0)</f>
        <v>33.333333333333336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IFERROR(__xludf.DUMMYFUNCTION("IMPORTRANGE(""https://docs.google.com/spreadsheets/d/1awYsYK3VOup2i3Pq_Yjnu8DRu_mYwSBnCR2QPthd0rU/edit?usp=sharing"",""ศูนย์ยกเว้นโฉนด!F49"")"),159)</f>
        <v>159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IFERROR(__xludf.DUMMYFUNCTION("IMPORTRANGE(""https://docs.google.com/spreadsheets/d/1awYsYK3VOup2i3Pq_Yjnu8DRu_mYwSBnCR2QPthd0rU/edit?usp=sharing"",""ศูนย์ยกเว้นโฉนด!G49"")"),61)</f>
        <v>61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IFERROR(__xludf.DUMMYFUNCTION("IMPORTRANGE(""https://docs.google.com/spreadsheets/d/1awYsYK3VOup2i3Pq_Yjnu8DRu_mYwSBnCR2QPthd0rU/edit?usp=sharing"",""ศูนย์ยกเว้นโฉนด!H49"")"),0)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1002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IFERROR(__xludf.DUMMYFUNCTION("IMPORTRANGE(""https://docs.google.com/spreadsheets/d/1awYsYK3VOup2i3Pq_Yjnu8DRu_mYwSBnCR2QPthd0rU/edit?usp=sharing"",""โฉนดM3!G49"")"),101)</f>
        <v>101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IFERROR(__xludf.DUMMYFUNCTION("IMPORTRANGE(""https://docs.google.com/spreadsheets/d/1awYsYK3VOup2i3Pq_Yjnu8DRu_mYwSBnCR2QPthd0rU/edit?usp=sharing"",""โฉนดM3!H49"")"),901)</f>
        <v>901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577005</v>
      </c>
      <c r="M356" s="577">
        <f ca="1">M357+M358</f>
        <v>472405</v>
      </c>
      <c r="N356" s="577">
        <f ca="1">N357+N358</f>
        <v>81965</v>
      </c>
      <c r="O356" s="577">
        <f ca="1">IF(L356&gt;0,N356*100/L356,0)</f>
        <v>14.205249521234652</v>
      </c>
      <c r="P356" s="577">
        <f ca="1">IF(M356&gt;0,N356*100/M356,0)</f>
        <v>17.35057842317503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577005</v>
      </c>
      <c r="M358" s="425">
        <f ca="1">M361+M364</f>
        <v>472405</v>
      </c>
      <c r="N358" s="425">
        <f ca="1">N361+N364</f>
        <v>81965</v>
      </c>
      <c r="O358" s="425">
        <f ca="1">IF(L358&gt;0,N358*100/L358,0)</f>
        <v>14.205249521234652</v>
      </c>
      <c r="P358" s="425">
        <f ca="1">IF(M358&gt;0,N358*100/M358,0)</f>
        <v>17.35057842317503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577005</v>
      </c>
      <c r="M359" s="425">
        <f ca="1">M360+M361</f>
        <v>472405</v>
      </c>
      <c r="N359" s="425">
        <f ca="1">N360+N361</f>
        <v>81965</v>
      </c>
      <c r="O359" s="425">
        <f ca="1">IF(L359&gt;0,N359*100/L359,0)</f>
        <v>14.205249521234652</v>
      </c>
      <c r="P359" s="425">
        <f ca="1">IF(M359&gt;0,N359*100/M359,0)</f>
        <v>17.35057842317503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IFERROR(__xludf.DUMMYFUNCTION("IMPORTRANGE(""https://docs.google.com/spreadsheets/d/1-uDff_7J0KD5mKrp0Vvzr7lt3OU09vwQwhkpOPPYv2Y/edit?usp=sharing"",""งบพรบ!FC49"")"),577005)</f>
        <v>577005</v>
      </c>
      <c r="M361" s="425">
        <f ca="1">IFERROR(__xludf.DUMMYFUNCTION("IMPORTRANGE(""https://docs.google.com/spreadsheets/d/1-uDff_7J0KD5mKrp0Vvzr7lt3OU09vwQwhkpOPPYv2Y/edit?usp=sharing"",""งบพรบ!FH49"")"),472405)</f>
        <v>472405</v>
      </c>
      <c r="N361" s="425">
        <f ca="1">IFERROR(__xludf.DUMMYFUNCTION("IMPORTRANGE(""https://docs.google.com/spreadsheets/d/1-uDff_7J0KD5mKrp0Vvzr7lt3OU09vwQwhkpOPPYv2Y/edit?usp=sharing"",""งบพรบ!FJ49"")"),81965)</f>
        <v>81965</v>
      </c>
      <c r="O361" s="425">
        <f ca="1">IF(L361&gt;0,N361*100/L361,0)</f>
        <v>14.205249521234652</v>
      </c>
      <c r="P361" s="425">
        <f ca="1">IF(M361&gt;0,N361*100/M361,0)</f>
        <v>17.35057842317503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IFERROR(__xludf.DUMMYFUNCTION("IMPORTRANGE(""https://docs.google.com/spreadsheets/d/1-uDff_7J0KD5mKrp0Vvzr7lt3OU09vwQwhkpOPPYv2Y/edit?usp=sharing"",""งบพรบ!FF49"")"),0)</f>
        <v>0</v>
      </c>
      <c r="M364" s="425">
        <f ca="1">IFERROR(__xludf.DUMMYFUNCTION("IMPORTRANGE(""https://docs.google.com/spreadsheets/d/1-uDff_7J0KD5mKrp0Vvzr7lt3OU09vwQwhkpOPPYv2Y/edit?usp=sharing"",""งบพรบ!FI49"")"),0)</f>
        <v>0</v>
      </c>
      <c r="N364" s="425">
        <f ca="1">IFERROR(__xludf.DUMMYFUNCTION("IMPORTRANGE(""https://docs.google.com/spreadsheets/d/1-uDff_7J0KD5mKrp0Vvzr7lt3OU09vwQwhkpOPPYv2Y/edit?usp=sharing"",""งบพรบ!FK49"")"),0)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194</v>
      </c>
      <c r="J365" s="438">
        <f ca="1">J371</f>
        <v>125</v>
      </c>
      <c r="K365" s="439">
        <f ca="1">IF(I365&gt;0,J365*100/I365,0)</f>
        <v>64.432989690721655</v>
      </c>
      <c r="L365" s="571"/>
      <c r="M365" s="571"/>
      <c r="N365" s="571"/>
      <c r="O365" s="571"/>
      <c r="P365" s="571"/>
    </row>
    <row r="366" spans="1:16" ht="19.5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IFERROR(__xludf.DUMMYFUNCTION("IMPORTRANGE(""https://docs.google.com/spreadsheets/d/1tdoBKaGub7dwA3U6UFTqxio9LNnvDCQjHKmttSEBsFQ/edit?usp=sharing"",""จัดที่ดิน!AB49"")"),24)</f>
        <v>24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IFERROR(__xludf.DUMMYFUNCTION("IMPORTRANGE(""https://docs.google.com/spreadsheets/d/1eHaY18a8A9IcSdp1K8H6x8fbOy06t2VsZHhMHf-1x7Y/edit?usp=sharing"",""แผน!EW49"")"),1820)</f>
        <v>1820</v>
      </c>
      <c r="J368" s="565">
        <f ca="1">IFERROR(__xludf.DUMMYFUNCTION("IMPORTRANGE(""https://docs.google.com/spreadsheets/d/1tdoBKaGub7dwA3U6UFTqxio9LNnvDCQjHKmttSEBsFQ/edit?usp=sharing"",""จัดที่ดิน!AC49"")"),201.98)</f>
        <v>201.98</v>
      </c>
      <c r="K368" s="425">
        <f ca="1">IF(I368&gt;0,J368*100/I368,0)</f>
        <v>11.097802197802197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IFERROR(__xludf.DUMMYFUNCTION("IMPORTRANGE(""https://docs.google.com/spreadsheets/d/1eHaY18a8A9IcSdp1K8H6x8fbOy06t2VsZHhMHf-1x7Y/edit?usp=sharing"",""แผน!EX49"")"),292)</f>
        <v>292</v>
      </c>
      <c r="J369" s="424">
        <f ca="1">IFERROR(__xludf.DUMMYFUNCTION("IMPORTRANGE(""https://docs.google.com/spreadsheets/d/1tdoBKaGub7dwA3U6UFTqxio9LNnvDCQjHKmttSEBsFQ/edit?usp=sharing"",""จัดที่ดิน!AD49"")"),144)</f>
        <v>144</v>
      </c>
      <c r="K369" s="425">
        <f ca="1">IF(I369&gt;0,J369*100/I369,0)</f>
        <v>49.315068493150683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IFERROR(__xludf.DUMMYFUNCTION("IMPORTRANGE(""https://docs.google.com/spreadsheets/d/1tdoBKaGub7dwA3U6UFTqxio9LNnvDCQjHKmttSEBsFQ/edit?usp=sharing"",""จัดที่ดิน!AE49"")"),1151.84)</f>
        <v>1151.8399999999999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IFERROR(__xludf.DUMMYFUNCTION("IMPORTRANGE(""https://docs.google.com/spreadsheets/d/1eHaY18a8A9IcSdp1K8H6x8fbOy06t2VsZHhMHf-1x7Y/edit?usp=sharing"",""แผน!EY49"")"),194)</f>
        <v>194</v>
      </c>
      <c r="J371" s="424">
        <f ca="1">IFERROR(__xludf.DUMMYFUNCTION("IMPORTRANGE(""https://docs.google.com/spreadsheets/d/1tdoBKaGub7dwA3U6UFTqxio9LNnvDCQjHKmttSEBsFQ/edit?usp=sharing"",""จัดที่ดิน!AF49"")"),125)</f>
        <v>125</v>
      </c>
      <c r="K371" s="425">
        <f ca="1">IF(I371&gt;0,J371*100/I371,0)</f>
        <v>64.432989690721655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IFERROR(__xludf.DUMMYFUNCTION("IMPORTRANGE(""https://docs.google.com/spreadsheets/d/1tdoBKaGub7dwA3U6UFTqxio9LNnvDCQjHKmttSEBsFQ/edit?usp=sharing"",""จัดที่ดิน!AG49"")"),1024.34)</f>
        <v>1024.3399999999999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IFERROR(__xludf.DUMMYFUNCTION("IMPORTRANGE(""https://docs.google.com/spreadsheets/d/1-uDff_7J0KD5mKrp0Vvzr7lt3OU09vwQwhkpOPPYv2Y/edit?usp=sharing"",""งบพรบ!FM49"")"),0)</f>
        <v>0</v>
      </c>
      <c r="M382" s="521">
        <f ca="1">IFERROR(__xludf.DUMMYFUNCTION("IMPORTRANGE(""https://docs.google.com/spreadsheets/d/1-uDff_7J0KD5mKrp0Vvzr7lt3OU09vwQwhkpOPPYv2Y/edit?usp=sharing"",""งบพรบ!FR49"")"),0)</f>
        <v>0</v>
      </c>
      <c r="N382" s="521">
        <f ca="1">IFERROR(__xludf.DUMMYFUNCTION("IMPORTRANGE(""https://docs.google.com/spreadsheets/d/1-uDff_7J0KD5mKrp0Vvzr7lt3OU09vwQwhkpOPPYv2Y/edit?usp=sharing"",""งบพรบ!FT49"")"),0)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IFERROR(__xludf.DUMMYFUNCTION("IMPORTRANGE(""https://docs.google.com/spreadsheets/d/1-uDff_7J0KD5mKrp0Vvzr7lt3OU09vwQwhkpOPPYv2Y/edit?usp=sharing"",""งบพรบ!FP49"")"),0)</f>
        <v>0</v>
      </c>
      <c r="M385" s="521">
        <f ca="1">IFERROR(__xludf.DUMMYFUNCTION("IMPORTRANGE(""https://docs.google.com/spreadsheets/d/1-uDff_7J0KD5mKrp0Vvzr7lt3OU09vwQwhkpOPPYv2Y/edit?usp=sharing"",""งบพรบ!FS49"")"),0)</f>
        <v>0</v>
      </c>
      <c r="N385" s="521">
        <f ca="1">IFERROR(__xludf.DUMMYFUNCTION("IMPORTRANGE(""https://docs.google.com/spreadsheets/d/1-uDff_7J0KD5mKrp0Vvzr7lt3OU09vwQwhkpOPPYv2Y/edit?usp=sharing"",""งบพรบ!FU49"")"),0)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3D913-98A3-4CE0-A1F2-267B6A38EFC0}">
  <sheetPr>
    <outlinePr summaryBelow="0" summaryRight="0"/>
    <pageSetUpPr fitToPage="1"/>
  </sheetPr>
  <dimension ref="A1:P391"/>
  <sheetViews>
    <sheetView view="pageBreakPreview" zoomScale="60" zoomScaleNormal="70" workbookViewId="0">
      <pane xSplit="8" ySplit="17" topLeftCell="I18" activePane="bottomRight" state="frozen"/>
      <selection activeCell="H27" sqref="H27"/>
      <selection pane="topRight" activeCell="H27" sqref="H27"/>
      <selection pane="bottomLeft" activeCell="H27" sqref="H27"/>
      <selection pane="bottomRight" activeCell="H27" sqref="H27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5.140625" customWidth="1"/>
    <col min="11" max="11" width="12.57031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869" t="s">
        <v>0</v>
      </c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  <c r="O1" s="869"/>
      <c r="P1" s="869"/>
    </row>
    <row r="2" spans="1:16" ht="19.5" x14ac:dyDescent="0.3">
      <c r="A2" s="869" t="s">
        <v>179</v>
      </c>
      <c r="B2" s="869"/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  <c r="P2" s="869"/>
    </row>
    <row r="3" spans="1:16" ht="19.5" x14ac:dyDescent="0.3">
      <c r="A3" s="869" t="str">
        <f ca="1">IFERROR(__xludf.DUMMYFUNCTION("IMPORTRANGE(""https://docs.google.com/spreadsheets/d/1gNPQPjxUj63ZZXIIIm2aX4x3w7PhAZpC9JuXdbpWwUQ/edit?usp=sharing"",""Sheet1!b1"")"),"ข้อมูล ณ 28 ธ.ค. 66")</f>
        <v>ข้อมูล ณ 28 ธ.ค. 66</v>
      </c>
      <c r="B3" s="869"/>
      <c r="C3" s="869"/>
      <c r="D3" s="869"/>
      <c r="E3" s="869"/>
      <c r="F3" s="869"/>
      <c r="G3" s="869"/>
      <c r="H3" s="869"/>
      <c r="I3" s="869"/>
      <c r="J3" s="869"/>
      <c r="K3" s="869"/>
      <c r="L3" s="869"/>
      <c r="M3" s="869"/>
      <c r="N3" s="869"/>
      <c r="O3" s="869"/>
      <c r="P3" s="869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5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493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3307552</v>
      </c>
      <c r="M18" s="704">
        <f ca="1">M19+M20</f>
        <v>2925032</v>
      </c>
      <c r="N18" s="704">
        <f ca="1">N19+N20</f>
        <v>1043994.9299999999</v>
      </c>
      <c r="O18" s="704">
        <f ca="1">IF(L18&gt;0,N18*100/L18,0)</f>
        <v>31.563976318437323</v>
      </c>
      <c r="P18" s="704">
        <f ca="1">IF(M18&gt;0,N18*100/M18,0)</f>
        <v>35.691743885195102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3307552</v>
      </c>
      <c r="M20" s="817">
        <f ca="1">M23+M26</f>
        <v>2925032</v>
      </c>
      <c r="N20" s="817">
        <f ca="1">N23+N26</f>
        <v>1043994.9299999999</v>
      </c>
      <c r="O20" s="817">
        <f ca="1">IF(L20&gt;0,N20*100/L20,0)</f>
        <v>31.563976318437323</v>
      </c>
      <c r="P20" s="817">
        <f ca="1">IF(M20&gt;0,N20*100/M20,0)</f>
        <v>35.691743885195102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3307552</v>
      </c>
      <c r="M21" s="425">
        <f ca="1">M22+M23</f>
        <v>2925032</v>
      </c>
      <c r="N21" s="425">
        <f ca="1">N22+N23</f>
        <v>1043994.9299999999</v>
      </c>
      <c r="O21" s="425">
        <f ca="1">IF(L21&gt;0,N21*100/L21,0)</f>
        <v>31.563976318437323</v>
      </c>
      <c r="P21" s="425">
        <f ca="1">IF(M21&gt;0,N21*100/M21,0)</f>
        <v>35.691743885195102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3307552</v>
      </c>
      <c r="M23" s="425">
        <f ca="1">M49+M64+M77+M99+M130+M144+M162+M191+M178+M271+M287+M308+M325+M338+M361+M382</f>
        <v>2925032</v>
      </c>
      <c r="N23" s="425">
        <f ca="1">N49+N64+N77+N99+N130+N144+N162+N191+N178+N271+N287+N308+N325+N338+N361+N382</f>
        <v>1043994.9299999999</v>
      </c>
      <c r="O23" s="425">
        <f ca="1">IF(L23&gt;0,N23*100/L23,0)</f>
        <v>31.563976318437323</v>
      </c>
      <c r="P23" s="425">
        <f ca="1">IF(M23&gt;0,N23*100/M23,0)</f>
        <v>35.691743885195102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2.75" hidden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3307552</v>
      </c>
      <c r="M40" s="809">
        <f ca="1">M44+M59+M72+M94+M125+M139+M157+M173+M186+M266+M282+M303+M320+M333+M356</f>
        <v>2925032</v>
      </c>
      <c r="N40" s="809">
        <f ca="1">N44+N59+N72+N94+N125+N139+N157+N173+N186+N266+N282+N303+N320+N333+N356</f>
        <v>1043994.9299999999</v>
      </c>
      <c r="O40" s="809">
        <f ca="1">IF(L40&gt;0,N40*100/L40,0)</f>
        <v>31.563976318437323</v>
      </c>
      <c r="P40" s="809">
        <f ca="1">IF(M40&gt;0,N40*100/M40,0)</f>
        <v>35.691743885195102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464922</v>
      </c>
      <c r="M44" s="794">
        <f ca="1">M45+M46</f>
        <v>477482</v>
      </c>
      <c r="N44" s="794">
        <f ca="1">N45+N46</f>
        <v>193632</v>
      </c>
      <c r="O44" s="794">
        <f ca="1">IF(L44&gt;0,N44*100/L44,0)</f>
        <v>41.64827648508782</v>
      </c>
      <c r="P44" s="794">
        <f ca="1">IF(M44&gt;0,N44*100/M44,0)</f>
        <v>40.552732877888587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464922</v>
      </c>
      <c r="M46" s="783">
        <f ca="1">M49+M52</f>
        <v>477482</v>
      </c>
      <c r="N46" s="783">
        <f ca="1">N49+N52</f>
        <v>193632</v>
      </c>
      <c r="O46" s="783">
        <f ca="1">IF(L46&gt;0,N46*100/L46,0)</f>
        <v>41.64827648508782</v>
      </c>
      <c r="P46" s="783">
        <f ca="1">IF(M46&gt;0,N46*100/M46,0)</f>
        <v>40.552732877888587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464922</v>
      </c>
      <c r="M47" s="425">
        <f ca="1">M48+M49</f>
        <v>477482</v>
      </c>
      <c r="N47" s="425">
        <f ca="1">N48+N49</f>
        <v>193632</v>
      </c>
      <c r="O47" s="425">
        <f ca="1">IF(L47&gt;0,N47*100/L47,0)</f>
        <v>41.64827648508782</v>
      </c>
      <c r="P47" s="425">
        <f ca="1">IF(M47&gt;0,N47*100/M47,0)</f>
        <v>40.552732877888587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IFERROR(__xludf.DUMMYFUNCTION("IMPORTRANGE(""https://docs.google.com/spreadsheets/d/1-uDff_7J0KD5mKrp0Vvzr7lt3OU09vwQwhkpOPPYv2Y/edit?usp=sharing"",""งบพรบ!P50"")"),464922)</f>
        <v>464922</v>
      </c>
      <c r="M49" s="425">
        <f ca="1">IFERROR(__xludf.DUMMYFUNCTION("IMPORTRANGE(""https://docs.google.com/spreadsheets/d/1-uDff_7J0KD5mKrp0Vvzr7lt3OU09vwQwhkpOPPYv2Y/edit?usp=sharing"",""งบพรบ!V50"")"),477482)</f>
        <v>477482</v>
      </c>
      <c r="N49" s="425">
        <f ca="1">IFERROR(__xludf.DUMMYFUNCTION("IMPORTRANGE(""https://docs.google.com/spreadsheets/d/1-uDff_7J0KD5mKrp0Vvzr7lt3OU09vwQwhkpOPPYv2Y/edit?usp=sharing"",""งบพรบ!Y50"")"),193632)</f>
        <v>193632</v>
      </c>
      <c r="O49" s="425">
        <f ca="1">IF(L49&gt;0,N49*100/L49,0)</f>
        <v>41.64827648508782</v>
      </c>
      <c r="P49" s="425">
        <f ca="1">IF(M49&gt;0,N49*100/M49,0)</f>
        <v>40.552732877888587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IFERROR(__xludf.DUMMYFUNCTION("IMPORTRANGE(""https://docs.google.com/spreadsheets/d/1-uDff_7J0KD5mKrp0Vvzr7lt3OU09vwQwhkpOPPYv2Y/edit?usp=sharing"",""งบพรบ!S50"")"),0)</f>
        <v>0</v>
      </c>
      <c r="M52" s="425">
        <f ca="1">IFERROR(__xludf.DUMMYFUNCTION("IMPORTRANGE(""https://docs.google.com/spreadsheets/d/1-uDff_7J0KD5mKrp0Vvzr7lt3OU09vwQwhkpOPPYv2Y/edit?usp=sharing"",""งบพรบ!W50"")"),0)</f>
        <v>0</v>
      </c>
      <c r="N52" s="425">
        <f ca="1">IFERROR(__xludf.DUMMYFUNCTION("IMPORTRANGE(""https://docs.google.com/spreadsheets/d/1-uDff_7J0KD5mKrp0Vvzr7lt3OU09vwQwhkpOPPYv2Y/edit?usp=sharing"",""งบพรบ!Z50"")"),0)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576000</v>
      </c>
      <c r="M59" s="763">
        <f ca="1">M60+M61</f>
        <v>434250</v>
      </c>
      <c r="N59" s="763">
        <f ca="1">N60+N61</f>
        <v>260011.64</v>
      </c>
      <c r="O59" s="763">
        <f ca="1">IF(L59&gt;0,N59*100/L59,0)</f>
        <v>45.140909722222226</v>
      </c>
      <c r="P59" s="763">
        <f ca="1">IF(M59&gt;0,N59*100/M59,0)</f>
        <v>59.876025331030512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576000</v>
      </c>
      <c r="M61" s="752">
        <f ca="1">M64+M67</f>
        <v>434250</v>
      </c>
      <c r="N61" s="752">
        <f ca="1">N64+N67</f>
        <v>260011.64</v>
      </c>
      <c r="O61" s="752">
        <f ca="1">IF(L61&gt;0,N61*100/L61,0)</f>
        <v>45.140909722222226</v>
      </c>
      <c r="P61" s="752">
        <f ca="1">IF(M61&gt;0,N61*100/M61,0)</f>
        <v>59.876025331030512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576000</v>
      </c>
      <c r="M62" s="425">
        <f ca="1">M63+M64</f>
        <v>434250</v>
      </c>
      <c r="N62" s="425">
        <f ca="1">N63+N64</f>
        <v>260011.64</v>
      </c>
      <c r="O62" s="425">
        <f ca="1">IF(L62&gt;0,N62*100/L62,0)</f>
        <v>45.140909722222226</v>
      </c>
      <c r="P62" s="425">
        <f ca="1">IF(M62&gt;0,N62*100/M62,0)</f>
        <v>59.876025331030512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IFERROR(__xludf.DUMMYFUNCTION("IMPORTRANGE(""https://docs.google.com/spreadsheets/d/1-uDff_7J0KD5mKrp0Vvzr7lt3OU09vwQwhkpOPPYv2Y/edit?usp=sharing"",""งบพรบ!AC50"")"),576000)</f>
        <v>576000</v>
      </c>
      <c r="M64" s="425">
        <f ca="1">IFERROR(__xludf.DUMMYFUNCTION("IMPORTRANGE(""https://docs.google.com/spreadsheets/d/1-uDff_7J0KD5mKrp0Vvzr7lt3OU09vwQwhkpOPPYv2Y/edit?usp=sharing"",""งบพรบ!AH50"")"),434250)</f>
        <v>434250</v>
      </c>
      <c r="N64" s="425">
        <f ca="1">IFERROR(__xludf.DUMMYFUNCTION("IMPORTRANGE(""https://docs.google.com/spreadsheets/d/1-uDff_7J0KD5mKrp0Vvzr7lt3OU09vwQwhkpOPPYv2Y/edit?usp=sharing"",""งบพรบ!AJ50"")"),260011.64)</f>
        <v>260011.64</v>
      </c>
      <c r="O64" s="425">
        <f ca="1">IF(L64&gt;0,N64*100/L64,0)</f>
        <v>45.140909722222226</v>
      </c>
      <c r="P64" s="425">
        <f ca="1">IF(M64&gt;0,N64*100/M64,0)</f>
        <v>59.876025331030512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IFERROR(__xludf.DUMMYFUNCTION("IMPORTRANGE(""https://docs.google.com/spreadsheets/d/1-uDff_7J0KD5mKrp0Vvzr7lt3OU09vwQwhkpOPPYv2Y/edit?usp=sharing"",""งบพรบ!AF50"")"),0)</f>
        <v>0</v>
      </c>
      <c r="M67" s="747">
        <f ca="1">IFERROR(__xludf.DUMMYFUNCTION("IMPORTRANGE(""https://docs.google.com/spreadsheets/d/1-uDff_7J0KD5mKrp0Vvzr7lt3OU09vwQwhkpOPPYv2Y/edit?usp=sharing"",""งบพรบ!AI50"")"),0)</f>
        <v>0</v>
      </c>
      <c r="N67" s="747">
        <f ca="1">IFERROR(__xludf.DUMMYFUNCTION("IMPORTRANGE(""https://docs.google.com/spreadsheets/d/1-uDff_7J0KD5mKrp0Vvzr7lt3OU09vwQwhkpOPPYv2Y/edit?usp=sharing"",""งบพรบ!AK50"")"),0)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19.5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1</v>
      </c>
      <c r="J70" s="705">
        <f>J82</f>
        <v>0</v>
      </c>
      <c r="K70" s="704">
        <f ca="1">IF(I70&gt;0,J70*100/I70,0)</f>
        <v>0</v>
      </c>
      <c r="L70" s="703"/>
      <c r="M70" s="703"/>
      <c r="N70" s="703"/>
      <c r="O70" s="703"/>
      <c r="P70" s="703"/>
    </row>
    <row r="71" spans="1:16" ht="19.5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70</v>
      </c>
      <c r="J71" s="705">
        <f>J83</f>
        <v>0</v>
      </c>
      <c r="K71" s="704">
        <f ca="1">IF(I71&gt;0,J71*100/I71,0)</f>
        <v>0</v>
      </c>
      <c r="L71" s="703"/>
      <c r="M71" s="703"/>
      <c r="N71" s="703"/>
      <c r="O71" s="703"/>
      <c r="P71" s="703"/>
    </row>
    <row r="72" spans="1:16" ht="19.5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573300</v>
      </c>
      <c r="M72" s="577">
        <f ca="1">M73+M74</f>
        <v>509500</v>
      </c>
      <c r="N72" s="577">
        <f ca="1">N73+N74</f>
        <v>82646.98</v>
      </c>
      <c r="O72" s="577">
        <f ca="1">IF(L72&gt;0,N72*100/L72,0)</f>
        <v>14.416009070294784</v>
      </c>
      <c r="P72" s="577">
        <f ca="1">IF(M72&gt;0,N72*100/M72,0)</f>
        <v>16.221193326790971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573300</v>
      </c>
      <c r="M74" s="425">
        <f ca="1">M77+M80</f>
        <v>509500</v>
      </c>
      <c r="N74" s="425">
        <f ca="1">N77+N80</f>
        <v>82646.98</v>
      </c>
      <c r="O74" s="425">
        <f ca="1">IF(L74&gt;0,N74*100/L74,0)</f>
        <v>14.416009070294784</v>
      </c>
      <c r="P74" s="425">
        <f ca="1">IF(M74&gt;0,N74*100/M74,0)</f>
        <v>16.221193326790971</v>
      </c>
    </row>
    <row r="75" spans="1:16" ht="18.75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573300</v>
      </c>
      <c r="M75" s="425">
        <f ca="1">M76+M77</f>
        <v>509500</v>
      </c>
      <c r="N75" s="425">
        <f ca="1">N76+N77</f>
        <v>82646.98</v>
      </c>
      <c r="O75" s="425">
        <f ca="1">IF(L75&gt;0,N75*100/L75,0)</f>
        <v>14.416009070294784</v>
      </c>
      <c r="P75" s="425">
        <f ca="1">IF(M75&gt;0,N75*100/M75,0)</f>
        <v>16.221193326790971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IFERROR(__xludf.DUMMYFUNCTION("IMPORTRANGE(""https://docs.google.com/spreadsheets/d/1-uDff_7J0KD5mKrp0Vvzr7lt3OU09vwQwhkpOPPYv2Y/edit?usp=sharing"",""งบพรบ!AM50"")"),573300)</f>
        <v>573300</v>
      </c>
      <c r="M77" s="425">
        <f ca="1">IFERROR(__xludf.DUMMYFUNCTION("IMPORTRANGE(""https://docs.google.com/spreadsheets/d/1-uDff_7J0KD5mKrp0Vvzr7lt3OU09vwQwhkpOPPYv2Y/edit?usp=sharing"",""งบพรบ!AR50"")"),509500)</f>
        <v>509500</v>
      </c>
      <c r="N77" s="425">
        <f ca="1">IFERROR(__xludf.DUMMYFUNCTION("IMPORTRANGE(""https://docs.google.com/spreadsheets/d/1-uDff_7J0KD5mKrp0Vvzr7lt3OU09vwQwhkpOPPYv2Y/edit?usp=sharing"",""งบพรบ!AT50"")"),82646.98)</f>
        <v>82646.98</v>
      </c>
      <c r="O77" s="425">
        <f ca="1">IF(L77&gt;0,N77*100/L77,0)</f>
        <v>14.416009070294784</v>
      </c>
      <c r="P77" s="425">
        <f ca="1">IF(M77&gt;0,N77*100/M77,0)</f>
        <v>16.221193326790971</v>
      </c>
    </row>
    <row r="78" spans="1:16" ht="18.75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IFERROR(__xludf.DUMMYFUNCTION("IMPORTRANGE(""https://docs.google.com/spreadsheets/d/1-uDff_7J0KD5mKrp0Vvzr7lt3OU09vwQwhkpOPPYv2Y/edit?usp=sharing"",""งบพรบ!AP50"")"),0)</f>
        <v>0</v>
      </c>
      <c r="M80" s="425">
        <f ca="1">IFERROR(__xludf.DUMMYFUNCTION("IMPORTRANGE(""https://docs.google.com/spreadsheets/d/1-uDff_7J0KD5mKrp0Vvzr7lt3OU09vwQwhkpOPPYv2Y/edit?usp=sharing"",""งบพรบ!AS50"")"),0)</f>
        <v>0</v>
      </c>
      <c r="N80" s="425">
        <f ca="1">IFERROR(__xludf.DUMMYFUNCTION("IMPORTRANGE(""https://docs.google.com/spreadsheets/d/1-uDff_7J0KD5mKrp0Vvzr7lt3OU09vwQwhkpOPPYv2Y/edit?usp=sharing"",""งบพรบ!AU50"")"),0)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1</v>
      </c>
      <c r="J82" s="625">
        <f>J84+J86+J88</f>
        <v>0</v>
      </c>
      <c r="K82" s="624">
        <f ca="1">IF(I82&gt;0,J82*100/I82,0)</f>
        <v>0</v>
      </c>
      <c r="L82" s="525"/>
      <c r="M82" s="525"/>
      <c r="N82" s="525"/>
      <c r="O82" s="525"/>
      <c r="P82" s="525"/>
    </row>
    <row r="83" spans="1:16" ht="19.5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70</v>
      </c>
      <c r="J83" s="625">
        <f>J85+J87+J89</f>
        <v>0</v>
      </c>
      <c r="K83" s="624">
        <f ca="1">IF(I83&gt;0,J83*100/I83,0)</f>
        <v>0</v>
      </c>
      <c r="L83" s="525"/>
      <c r="M83" s="525"/>
      <c r="N83" s="525"/>
      <c r="O83" s="525"/>
      <c r="P83" s="525"/>
    </row>
    <row r="84" spans="1:16" ht="18.75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IFERROR(__xludf.DUMMYFUNCTION("IMPORTRANGE(""https://docs.google.com/spreadsheets/d/1eHaY18a8A9IcSdp1K8H6x8fbOy06t2VsZHhMHf-1x7Y/edit?usp=sharing"",""แผน!H50"")"),0)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IFERROR(__xludf.DUMMYFUNCTION("IMPORTRANGE(""https://docs.google.com/spreadsheets/d/1eHaY18a8A9IcSdp1K8H6x8fbOy06t2VsZHhMHf-1x7Y/edit?usp=sharing"",""แผน!I50"")"),0)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IFERROR(__xludf.DUMMYFUNCTION("IMPORTRANGE(""https://docs.google.com/spreadsheets/d/1eHaY18a8A9IcSdp1K8H6x8fbOy06t2VsZHhMHf-1x7Y/edit?usp=sharing"",""แผน!F50"")"),0)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IFERROR(__xludf.DUMMYFUNCTION("IMPORTRANGE(""https://docs.google.com/spreadsheets/d/1eHaY18a8A9IcSdp1K8H6x8fbOy06t2VsZHhMHf-1x7Y/edit?usp=sharing"",""แผน!G50"")"),0)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IFERROR(__xludf.DUMMYFUNCTION("IMPORTRANGE(""https://docs.google.com/spreadsheets/d/1eHaY18a8A9IcSdp1K8H6x8fbOy06t2VsZHhMHf-1x7Y/edit?usp=sharing"",""แผน!D50"")"),1)</f>
        <v>1</v>
      </c>
      <c r="J88" s="595">
        <v>0</v>
      </c>
      <c r="K88" s="621">
        <f ca="1">IF(I88&gt;0,J88*100/I88,0)</f>
        <v>0</v>
      </c>
      <c r="L88" s="525"/>
      <c r="M88" s="525"/>
      <c r="N88" s="525"/>
      <c r="O88" s="525"/>
      <c r="P88" s="525"/>
    </row>
    <row r="89" spans="1:16" ht="18.75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IFERROR(__xludf.DUMMYFUNCTION("IMPORTRANGE(""https://docs.google.com/spreadsheets/d/1eHaY18a8A9IcSdp1K8H6x8fbOy06t2VsZHhMHf-1x7Y/edit?usp=sharing"",""แผน!E50"")"),70)</f>
        <v>70</v>
      </c>
      <c r="J89" s="595">
        <v>0</v>
      </c>
      <c r="K89" s="621">
        <f ca="1">IF(I89&gt;0,J89*100/I89,0)</f>
        <v>0</v>
      </c>
      <c r="L89" s="525"/>
      <c r="M89" s="525"/>
      <c r="N89" s="525"/>
      <c r="O89" s="525"/>
      <c r="P89" s="525"/>
    </row>
    <row r="90" spans="1:16" ht="18.75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IFERROR(__xludf.DUMMYFUNCTION("IMPORTRANGE(""https://docs.google.com/spreadsheets/d/1eHaY18a8A9IcSdp1K8H6x8fbOy06t2VsZHhMHf-1x7Y/edit?usp=sharing"",""แผน!J50"")"),1)</f>
        <v>1</v>
      </c>
      <c r="J90" s="595">
        <v>0</v>
      </c>
      <c r="K90" s="621">
        <f ca="1">IF(I90&gt;0,J90*100/I90,0)</f>
        <v>0</v>
      </c>
      <c r="L90" s="525"/>
      <c r="M90" s="525"/>
      <c r="N90" s="525"/>
      <c r="O90" s="525"/>
      <c r="P90" s="525"/>
    </row>
    <row r="91" spans="1:16" ht="19.5" hidden="1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hidden="1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0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hidden="1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0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hidden="1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0</v>
      </c>
      <c r="M94" s="577">
        <f ca="1">M95+M96</f>
        <v>0</v>
      </c>
      <c r="N94" s="577">
        <f ca="1">N95+N96</f>
        <v>0</v>
      </c>
      <c r="O94" s="577">
        <f ca="1">IF(L94&gt;0,N94*100/L94,0)</f>
        <v>0</v>
      </c>
      <c r="P94" s="577">
        <f ca="1">IF(M94&gt;0,N94*100/M94,0)</f>
        <v>0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hidden="1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hidden="1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IFERROR(__xludf.DUMMYFUNCTION("IMPORTRANGE(""https://docs.google.com/spreadsheets/d/1-uDff_7J0KD5mKrp0Vvzr7lt3OU09vwQwhkpOPPYv2Y/edit?usp=sharing"",""งบพรบ!AW50"")"),0)</f>
        <v>0</v>
      </c>
      <c r="M99" s="425">
        <f ca="1">IFERROR(__xludf.DUMMYFUNCTION("IMPORTRANGE(""https://docs.google.com/spreadsheets/d/1-uDff_7J0KD5mKrp0Vvzr7lt3OU09vwQwhkpOPPYv2Y/edit?usp=sharing"",""งบพรบ!BB50"")"),0)</f>
        <v>0</v>
      </c>
      <c r="N99" s="425">
        <f ca="1">IFERROR(__xludf.DUMMYFUNCTION("IMPORTRANGE(""https://docs.google.com/spreadsheets/d/1-uDff_7J0KD5mKrp0Vvzr7lt3OU09vwQwhkpOPPYv2Y/edit?usp=sharing"",""งบพรบ!BD50"")"),0)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hidden="1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IFERROR(__xludf.DUMMYFUNCTION("IMPORTRANGE(""https://docs.google.com/spreadsheets/d/1-uDff_7J0KD5mKrp0Vvzr7lt3OU09vwQwhkpOPPYv2Y/edit?usp=sharing"",""งบพรบ!AZ50"")"),0)</f>
        <v>0</v>
      </c>
      <c r="M102" s="425">
        <f ca="1">IFERROR(__xludf.DUMMYFUNCTION("IMPORTRANGE(""https://docs.google.com/spreadsheets/d/1-uDff_7J0KD5mKrp0Vvzr7lt3OU09vwQwhkpOPPYv2Y/edit?usp=sharing"",""งบพรบ!BC50"")"),0)</f>
        <v>0</v>
      </c>
      <c r="N102" s="425">
        <f ca="1">IFERROR(__xludf.DUMMYFUNCTION("IMPORTRANGE(""https://docs.google.com/spreadsheets/d/1-uDff_7J0KD5mKrp0Vvzr7lt3OU09vwQwhkpOPPYv2Y/edit?usp=sharing"",""งบพรบ!BE50"")"),0)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hidden="1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hidden="1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IFERROR(__xludf.DUMMYFUNCTION("IMPORTRANGE(""https://docs.google.com/spreadsheets/d/1eHaY18a8A9IcSdp1K8H6x8fbOy06t2VsZHhMHf-1x7Y/edit?usp=sharing"",""แผน!N50"")"),0)</f>
        <v>0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hidden="1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IFERROR(__xludf.DUMMYFUNCTION("IMPORTRANGE(""https://docs.google.com/spreadsheets/d/1eHaY18a8A9IcSdp1K8H6x8fbOy06t2VsZHhMHf-1x7Y/edit?usp=sharing"",""แผน!O50"")"),0)</f>
        <v>0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hidden="1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IFERROR(__xludf.DUMMYFUNCTION("IMPORTRANGE(""https://docs.google.com/spreadsheets/d/1eHaY18a8A9IcSdp1K8H6x8fbOy06t2VsZHhMHf-1x7Y/edit?usp=sharing"",""แผน!R50"")"),0)</f>
        <v>0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IFERROR(__xludf.DUMMYFUNCTION("IMPORTRANGE(""https://docs.google.com/spreadsheets/d/1-uDff_7J0KD5mKrp0Vvzr7lt3OU09vwQwhkpOPPYv2Y/edit?usp=sharing"",""งบพรบ!BG50"")"),0)</f>
        <v>0</v>
      </c>
      <c r="M130" s="723">
        <f ca="1">IFERROR(__xludf.DUMMYFUNCTION("IMPORTRANGE(""https://docs.google.com/spreadsheets/d/1-uDff_7J0KD5mKrp0Vvzr7lt3OU09vwQwhkpOPPYv2Y/edit?usp=sharing"",""งบพรบ!BL50"")"),0)</f>
        <v>0</v>
      </c>
      <c r="N130" s="723">
        <f ca="1">IFERROR(__xludf.DUMMYFUNCTION("IMPORTRANGE(""https://docs.google.com/spreadsheets/d/1-uDff_7J0KD5mKrp0Vvzr7lt3OU09vwQwhkpOPPYv2Y/edit?usp=sharing"",""งบพรบ!BN50"")"),0)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IFERROR(__xludf.DUMMYFUNCTION("IMPORTRANGE(""https://docs.google.com/spreadsheets/d/1-uDff_7J0KD5mKrp0Vvzr7lt3OU09vwQwhkpOPPYv2Y/edit?usp=sharing"",""งบพรบ!BJ50"")"),0)</f>
        <v>0</v>
      </c>
      <c r="M133" s="723">
        <f ca="1">IFERROR(__xludf.DUMMYFUNCTION("IMPORTRANGE(""https://docs.google.com/spreadsheets/d/1-uDff_7J0KD5mKrp0Vvzr7lt3OU09vwQwhkpOPPYv2Y/edit?usp=sharing"",""งบพรบ!BM50"")"),0)</f>
        <v>0</v>
      </c>
      <c r="N133" s="723">
        <f ca="1">IFERROR(__xludf.DUMMYFUNCTION("IMPORTRANGE(""https://docs.google.com/spreadsheets/d/1-uDff_7J0KD5mKrp0Vvzr7lt3OU09vwQwhkpOPPYv2Y/edit?usp=sharing"",""งบพรบ!BO50"")"),0)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hidden="1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hidden="1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hidden="1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0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hidden="1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0</v>
      </c>
      <c r="J137" s="705">
        <f>J152</f>
        <v>0</v>
      </c>
      <c r="K137" s="704">
        <f ca="1">IF(I137&gt;0,J137*100/I137,0)</f>
        <v>0</v>
      </c>
      <c r="L137" s="703"/>
      <c r="M137" s="703"/>
      <c r="N137" s="703"/>
      <c r="O137" s="703"/>
      <c r="P137" s="703"/>
    </row>
    <row r="138" spans="1:16" ht="19.5" hidden="1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0</v>
      </c>
      <c r="J138" s="705">
        <f>J153</f>
        <v>0</v>
      </c>
      <c r="K138" s="704">
        <f ca="1">IF(I138&gt;0,J138*100/I138,0)</f>
        <v>0</v>
      </c>
      <c r="L138" s="703"/>
      <c r="M138" s="703"/>
      <c r="N138" s="703"/>
      <c r="O138" s="703"/>
      <c r="P138" s="703"/>
    </row>
    <row r="139" spans="1:16" ht="19.5" hidden="1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0</v>
      </c>
      <c r="M139" s="577">
        <f ca="1">M140+M141</f>
        <v>0</v>
      </c>
      <c r="N139" s="577">
        <f ca="1">N140+N141</f>
        <v>0</v>
      </c>
      <c r="O139" s="577">
        <f ca="1">IF(L139&gt;0,N139*100/L139,0)</f>
        <v>0</v>
      </c>
      <c r="P139" s="577">
        <f ca="1">IF(M139&gt;0,N139*100/M139,0)</f>
        <v>0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hidden="1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0</v>
      </c>
      <c r="M141" s="425">
        <f ca="1">M144+M147</f>
        <v>0</v>
      </c>
      <c r="N141" s="425">
        <f ca="1">N144+N147</f>
        <v>0</v>
      </c>
      <c r="O141" s="425">
        <f ca="1">IF(L141&gt;0,N141*100/L141,0)</f>
        <v>0</v>
      </c>
      <c r="P141" s="425">
        <f ca="1">IF(M141&gt;0,N141*100/M141,0)</f>
        <v>0</v>
      </c>
    </row>
    <row r="142" spans="1:16" ht="18.75" hidden="1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0</v>
      </c>
      <c r="M142" s="425">
        <f ca="1">M143+M144</f>
        <v>0</v>
      </c>
      <c r="N142" s="425">
        <f ca="1">N143+N144</f>
        <v>0</v>
      </c>
      <c r="O142" s="425">
        <f ca="1">IF(L142&gt;0,N142*100/L142,0)</f>
        <v>0</v>
      </c>
      <c r="P142" s="425">
        <f ca="1">IF(M142&gt;0,N142*100/M142,0)</f>
        <v>0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hidden="1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IFERROR(__xludf.DUMMYFUNCTION("IMPORTRANGE(""https://docs.google.com/spreadsheets/d/1-uDff_7J0KD5mKrp0Vvzr7lt3OU09vwQwhkpOPPYv2Y/edit?usp=sharing"",""งบพรบ!BQ50"")"),0)</f>
        <v>0</v>
      </c>
      <c r="M144" s="425">
        <f ca="1">IFERROR(__xludf.DUMMYFUNCTION("IMPORTRANGE(""https://docs.google.com/spreadsheets/d/1-uDff_7J0KD5mKrp0Vvzr7lt3OU09vwQwhkpOPPYv2Y/edit?usp=sharing"",""งบพรบ!BV50"")"),0)</f>
        <v>0</v>
      </c>
      <c r="N144" s="425">
        <f ca="1">IFERROR(__xludf.DUMMYFUNCTION("IMPORTRANGE(""https://docs.google.com/spreadsheets/d/1-uDff_7J0KD5mKrp0Vvzr7lt3OU09vwQwhkpOPPYv2Y/edit?usp=sharing"",""งบพรบ!BX50"")"),0)</f>
        <v>0</v>
      </c>
      <c r="O144" s="425">
        <f ca="1">IF(L144&gt;0,N144*100/L144,0)</f>
        <v>0</v>
      </c>
      <c r="P144" s="425">
        <f ca="1">IF(M144&gt;0,N144*100/M144,0)</f>
        <v>0</v>
      </c>
    </row>
    <row r="145" spans="1:16" ht="18.75" hidden="1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hidden="1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IFERROR(__xludf.DUMMYFUNCTION("IMPORTRANGE(""https://docs.google.com/spreadsheets/d/1-uDff_7J0KD5mKrp0Vvzr7lt3OU09vwQwhkpOPPYv2Y/edit?usp=sharing"",""งบพรบ!BT50"")"),0)</f>
        <v>0</v>
      </c>
      <c r="M147" s="425">
        <f ca="1">IFERROR(__xludf.DUMMYFUNCTION("IMPORTRANGE(""https://docs.google.com/spreadsheets/d/1-uDff_7J0KD5mKrp0Vvzr7lt3OU09vwQwhkpOPPYv2Y/edit?usp=sharing"",""งบพรบ!BW50"")"),0)</f>
        <v>0</v>
      </c>
      <c r="N147" s="425">
        <f ca="1">IFERROR(__xludf.DUMMYFUNCTION("IMPORTRANGE(""https://docs.google.com/spreadsheets/d/1-uDff_7J0KD5mKrp0Vvzr7lt3OU09vwQwhkpOPPYv2Y/edit?usp=sharing"",""งบพรบ!BY50"")"),0)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hidden="1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hidden="1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hidden="1" x14ac:dyDescent="0.3">
      <c r="A150" s="535"/>
      <c r="B150" s="418"/>
      <c r="C150" s="418"/>
      <c r="D150" s="420"/>
      <c r="E150" s="570" t="s">
        <v>159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IFERROR(__xludf.DUMMYFUNCTION("IMPORTRANGE(""https://docs.google.com/spreadsheets/d/1eHaY18a8A9IcSdp1K8H6x8fbOy06t2VsZHhMHf-1x7Y/edit?usp=sharing"",""แผน!U50"")"),0)</f>
        <v>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hidden="1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IFERROR(__xludf.DUMMYFUNCTION("IMPORTRANGE(""https://docs.google.com/spreadsheets/d/1eHaY18a8A9IcSdp1K8H6x8fbOy06t2VsZHhMHf-1x7Y/edit?usp=sharing"",""แผน!V50"")"),0)</f>
        <v>0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hidden="1" x14ac:dyDescent="0.3">
      <c r="A152" s="535"/>
      <c r="B152" s="418"/>
      <c r="C152" s="418"/>
      <c r="D152" s="420"/>
      <c r="E152" s="570" t="s">
        <v>158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IFERROR(__xludf.DUMMYFUNCTION("IMPORTRANGE(""https://docs.google.com/spreadsheets/d/1eHaY18a8A9IcSdp1K8H6x8fbOy06t2VsZHhMHf-1x7Y/edit?usp=sharing"",""แผน!W50"")"),0)</f>
        <v>0</v>
      </c>
      <c r="J152" s="595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hidden="1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IFERROR(__xludf.DUMMYFUNCTION("IMPORTRANGE(""https://docs.google.com/spreadsheets/d/1eHaY18a8A9IcSdp1K8H6x8fbOy06t2VsZHhMHf-1x7Y/edit?usp=sharing"",""แผน!X50"")"),0)</f>
        <v>0</v>
      </c>
      <c r="J153" s="595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hidden="1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IFERROR(__xludf.DUMMYFUNCTION("IMPORTRANGE(""https://docs.google.com/spreadsheets/d/1eHaY18a8A9IcSdp1K8H6x8fbOy06t2VsZHhMHf-1x7Y/edit?usp=sharing"",""แผน!Y50"")"),0)</f>
        <v>0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I167</f>
        <v>15</v>
      </c>
      <c r="J156" s="705">
        <f>J167</f>
        <v>0</v>
      </c>
      <c r="K156" s="704">
        <f ca="1">IF(I156&gt;0,J156*100/I156,0)</f>
        <v>0</v>
      </c>
      <c r="L156" s="703"/>
      <c r="M156" s="703"/>
      <c r="N156" s="703"/>
      <c r="O156" s="703"/>
      <c r="P156" s="703"/>
    </row>
    <row r="157" spans="1:16" ht="19.5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4500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4500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4500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IFERROR(__xludf.DUMMYFUNCTION("IMPORTRANGE(""https://docs.google.com/spreadsheets/d/1-uDff_7J0KD5mKrp0Vvzr7lt3OU09vwQwhkpOPPYv2Y/edit?usp=sharing"",""งบพรบ!CA50"")"),4500)</f>
        <v>4500</v>
      </c>
      <c r="M162" s="425">
        <f ca="1">IFERROR(__xludf.DUMMYFUNCTION("IMPORTRANGE(""https://docs.google.com/spreadsheets/d/1-uDff_7J0KD5mKrp0Vvzr7lt3OU09vwQwhkpOPPYv2Y/edit?usp=sharing"",""งบพรบ!CF50"")"),0)</f>
        <v>0</v>
      </c>
      <c r="N162" s="425">
        <f ca="1">IFERROR(__xludf.DUMMYFUNCTION("IMPORTRANGE(""https://docs.google.com/spreadsheets/d/1-uDff_7J0KD5mKrp0Vvzr7lt3OU09vwQwhkpOPPYv2Y/edit?usp=sharing"",""งบพรบ!CH50"")"),0)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IFERROR(__xludf.DUMMYFUNCTION("IMPORTRANGE(""https://docs.google.com/spreadsheets/d/1-uDff_7J0KD5mKrp0Vvzr7lt3OU09vwQwhkpOPPYv2Y/edit?usp=sharing"",""งบพรบ!CD50"")"),0)</f>
        <v>0</v>
      </c>
      <c r="M165" s="425">
        <f ca="1">IFERROR(__xludf.DUMMYFUNCTION("IMPORTRANGE(""https://docs.google.com/spreadsheets/d/1-uDff_7J0KD5mKrp0Vvzr7lt3OU09vwQwhkpOPPYv2Y/edit?usp=sharing"",""งบพรบ!CG50"")"),0)</f>
        <v>0</v>
      </c>
      <c r="N165" s="425">
        <f ca="1">IFERROR(__xludf.DUMMYFUNCTION("IMPORTRANGE(""https://docs.google.com/spreadsheets/d/1-uDff_7J0KD5mKrp0Vvzr7lt3OU09vwQwhkpOPPYv2Y/edit?usp=sharing"",""งบพรบ!CI50"")"),0)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IFERROR(__xludf.DUMMYFUNCTION("IMPORTRANGE(""https://docs.google.com/spreadsheets/d/1eHaY18a8A9IcSdp1K8H6x8fbOy06t2VsZHhMHf-1x7Y/edit?usp=sharing"",""แผน!Z50"")"),15)</f>
        <v>15</v>
      </c>
      <c r="J167" s="595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I167</f>
        <v>15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I167</f>
        <v>15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7</v>
      </c>
      <c r="J172" s="688">
        <f>J183+J184</f>
        <v>0</v>
      </c>
      <c r="K172" s="687">
        <f ca="1">IF(I172&gt;0,J172*100/I172,0)</f>
        <v>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19590</v>
      </c>
      <c r="M173" s="577">
        <f ca="1">M174+M175</f>
        <v>19590</v>
      </c>
      <c r="N173" s="577">
        <f ca="1">N174+N175</f>
        <v>0</v>
      </c>
      <c r="O173" s="577">
        <f ca="1">IF(L173&gt;0,N173*100/L173,0)</f>
        <v>0</v>
      </c>
      <c r="P173" s="577">
        <f ca="1">IF(M173&gt;0,N173*100/M173,0)</f>
        <v>0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19590</v>
      </c>
      <c r="N175" s="425">
        <f ca="1">N178+N181</f>
        <v>0</v>
      </c>
      <c r="O175" s="425">
        <f ca="1">IF(L175&gt;0,N175*100/L175,0)</f>
        <v>0</v>
      </c>
      <c r="P175" s="425">
        <f ca="1">IF(M175&gt;0,N175*100/M175,0)</f>
        <v>0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19590</v>
      </c>
      <c r="M176" s="425">
        <f ca="1">M177+M178</f>
        <v>19590</v>
      </c>
      <c r="N176" s="425">
        <f ca="1">N177+N178</f>
        <v>0</v>
      </c>
      <c r="O176" s="425">
        <f ca="1">IF(L176&gt;0,N176*100/L176,0)</f>
        <v>0</v>
      </c>
      <c r="P176" s="425">
        <f ca="1">IF(M176&gt;0,N176*100/M176,0)</f>
        <v>0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IFERROR(__xludf.DUMMYFUNCTION("IMPORTRANGE(""https://docs.google.com/spreadsheets/d/1-uDff_7J0KD5mKrp0Vvzr7lt3OU09vwQwhkpOPPYv2Y/edit?usp=sharing"",""งบพรบ!CK50"")"),19590)</f>
        <v>19590</v>
      </c>
      <c r="M178" s="425">
        <f ca="1">IFERROR(__xludf.DUMMYFUNCTION("IMPORTRANGE(""https://docs.google.com/spreadsheets/d/1-uDff_7J0KD5mKrp0Vvzr7lt3OU09vwQwhkpOPPYv2Y/edit?usp=sharing"",""งบพรบ!CP50"")"),19590)</f>
        <v>19590</v>
      </c>
      <c r="N178" s="425">
        <f ca="1">IFERROR(__xludf.DUMMYFUNCTION("IMPORTRANGE(""https://docs.google.com/spreadsheets/d/1-uDff_7J0KD5mKrp0Vvzr7lt3OU09vwQwhkpOPPYv2Y/edit?usp=sharing"",""งบพรบ!CR50"")"),0)</f>
        <v>0</v>
      </c>
      <c r="O178" s="425">
        <f ca="1">IF(L178&gt;0,N178*100/L178,0)</f>
        <v>0</v>
      </c>
      <c r="P178" s="425">
        <f ca="1">IF(M178&gt;0,N178*100/M178,0)</f>
        <v>0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IFERROR(__xludf.DUMMYFUNCTION("IMPORTRANGE(""https://docs.google.com/spreadsheets/d/1-uDff_7J0KD5mKrp0Vvzr7lt3OU09vwQwhkpOPPYv2Y/edit?usp=sharing"",""งบพรบ!CN50"")"),0)</f>
        <v>0</v>
      </c>
      <c r="M181" s="425">
        <f ca="1">IFERROR(__xludf.DUMMYFUNCTION("IMPORTRANGE(""https://docs.google.com/spreadsheets/d/1-uDff_7J0KD5mKrp0Vvzr7lt3OU09vwQwhkpOPPYv2Y/edit?usp=sharing"",""งบพรบ!CQ50"")"),0)</f>
        <v>0</v>
      </c>
      <c r="N181" s="425">
        <f ca="1">IFERROR(__xludf.DUMMYFUNCTION("IMPORTRANGE(""https://docs.google.com/spreadsheets/d/1-uDff_7J0KD5mKrp0Vvzr7lt3OU09vwQwhkpOPPYv2Y/edit?usp=sharing"",""งบพรบ!CS50"")"),0)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IFERROR(__xludf.DUMMYFUNCTION("IMPORTRANGE(""https://docs.google.com/spreadsheets/d/1eHaY18a8A9IcSdp1K8H6x8fbOy06t2VsZHhMHf-1x7Y/edit?usp=sharing"",""แผน!AA50"")"),7)</f>
        <v>7</v>
      </c>
      <c r="J183" s="595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0</v>
      </c>
      <c r="J185" s="688">
        <f>J230+J231</f>
        <v>0</v>
      </c>
      <c r="K185" s="687">
        <f ca="1">IF(I185&gt;0,J185*100/I185,0)</f>
        <v>0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65500</v>
      </c>
      <c r="M186" s="577">
        <f ca="1">M187+M188</f>
        <v>40500</v>
      </c>
      <c r="N186" s="577">
        <f ca="1">N187+N188</f>
        <v>3745</v>
      </c>
      <c r="O186" s="577">
        <f ca="1">IF(L186&gt;0,N186*100/L186,0)</f>
        <v>5.7175572519083966</v>
      </c>
      <c r="P186" s="577">
        <f ca="1">IF(M186&gt;0,N186*100/M186,0)</f>
        <v>9.2469135802469129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65500</v>
      </c>
      <c r="M188" s="425">
        <f ca="1">M191+M194</f>
        <v>40500</v>
      </c>
      <c r="N188" s="425">
        <f ca="1">N191+N194</f>
        <v>3745</v>
      </c>
      <c r="O188" s="425">
        <f ca="1">IF(L188&gt;0,N188*100/L188,0)</f>
        <v>5.7175572519083966</v>
      </c>
      <c r="P188" s="425">
        <f ca="1">IF(M188&gt;0,N188*100/M188,0)</f>
        <v>9.2469135802469129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65500</v>
      </c>
      <c r="M189" s="425">
        <f ca="1">M190+M191</f>
        <v>40500</v>
      </c>
      <c r="N189" s="425">
        <f ca="1">N190+N191</f>
        <v>3745</v>
      </c>
      <c r="O189" s="425">
        <f ca="1">IF(L189&gt;0,N189*100/L189,0)</f>
        <v>5.7175572519083966</v>
      </c>
      <c r="P189" s="425">
        <f ca="1">IF(M189&gt;0,N189*100/M189,0)</f>
        <v>9.2469135802469129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IFERROR(__xludf.DUMMYFUNCTION("IMPORTRANGE(""https://docs.google.com/spreadsheets/d/1-uDff_7J0KD5mKrp0Vvzr7lt3OU09vwQwhkpOPPYv2Y/edit?usp=sharing"",""งบพรบ!CU50"")"),65500)</f>
        <v>65500</v>
      </c>
      <c r="M191" s="425">
        <f ca="1">IFERROR(__xludf.DUMMYFUNCTION("IMPORTRANGE(""https://docs.google.com/spreadsheets/d/1-uDff_7J0KD5mKrp0Vvzr7lt3OU09vwQwhkpOPPYv2Y/edit?usp=sharing"",""งบพรบ!CZ50"")"),40500)</f>
        <v>40500</v>
      </c>
      <c r="N191" s="425">
        <f ca="1">IFERROR(__xludf.DUMMYFUNCTION("IMPORTRANGE(""https://docs.google.com/spreadsheets/d/1-uDff_7J0KD5mKrp0Vvzr7lt3OU09vwQwhkpOPPYv2Y/edit?usp=sharing"",""งบพรบ!DB50"")"),3745)</f>
        <v>3745</v>
      </c>
      <c r="O191" s="425">
        <f ca="1">IF(L191&gt;0,N191*100/L191,0)</f>
        <v>5.7175572519083966</v>
      </c>
      <c r="P191" s="425">
        <f ca="1">IF(M191&gt;0,N191*100/M191,0)</f>
        <v>9.2469135802469129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IFERROR(__xludf.DUMMYFUNCTION("IMPORTRANGE(""https://docs.google.com/spreadsheets/d/1-uDff_7J0KD5mKrp0Vvzr7lt3OU09vwQwhkpOPPYv2Y/edit?usp=sharing"",""งบพรบ!CX50"")"),0)</f>
        <v>0</v>
      </c>
      <c r="M194" s="425">
        <f ca="1">IFERROR(__xludf.DUMMYFUNCTION("IMPORTRANGE(""https://docs.google.com/spreadsheets/d/1-uDff_7J0KD5mKrp0Vvzr7lt3OU09vwQwhkpOPPYv2Y/edit?usp=sharing"",""งบพรบ!DA50"")"),0)</f>
        <v>0</v>
      </c>
      <c r="N194" s="425">
        <f ca="1">IFERROR(__xludf.DUMMYFUNCTION("IMPORTRANGE(""https://docs.google.com/spreadsheets/d/1-uDff_7J0KD5mKrp0Vvzr7lt3OU09vwQwhkpOPPYv2Y/edit?usp=sharing"",""งบพรบ!DC50"")"),0)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0</v>
      </c>
      <c r="K195" s="439">
        <f ca="1">IF(I195&gt;0,J195*100/I195,0)</f>
        <v>0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IFERROR(__xludf.DUMMYFUNCTION("IMPORTRANGE(""https://docs.google.com/spreadsheets/d/1eHaY18a8A9IcSdp1K8H6x8fbOy06t2VsZHhMHf-1x7Y/edit?usp=sharing"",""แผน!AB50"")"),6000)</f>
        <v>6000</v>
      </c>
      <c r="M196" s="428"/>
      <c r="N196" s="686">
        <v>0</v>
      </c>
      <c r="O196" s="577">
        <f ca="1">IF(L196&gt;0,N196*100/L196,0)</f>
        <v>0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IFERROR(__xludf.DUMMYFUNCTION("IMPORTRANGE(""https://docs.google.com/spreadsheets/d/1eHaY18a8A9IcSdp1K8H6x8fbOy06t2VsZHhMHf-1x7Y/edit?usp=sharing"",""แผน!AE50"")"),4)</f>
        <v>4</v>
      </c>
      <c r="J198" s="595">
        <v>0</v>
      </c>
      <c r="K198" s="425">
        <f ca="1">IF(I198&gt;0,J198*100/I198,0)</f>
        <v>0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1</v>
      </c>
      <c r="J202" s="438">
        <f>J209</f>
        <v>0</v>
      </c>
      <c r="K202" s="439">
        <f ca="1">IF(I202&gt;0,J202*100/I202,0)</f>
        <v>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13000</v>
      </c>
      <c r="M203" s="428"/>
      <c r="N203" s="577">
        <f>N204+N205+N206+N207</f>
        <v>0</v>
      </c>
      <c r="O203" s="577">
        <f ca="1">IF(L203&gt;0,N203*100/L203,0)</f>
        <v>0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2" t="s">
        <v>157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IFERROR(__xludf.DUMMYFUNCTION("IMPORTRANGE(""https://docs.google.com/spreadsheets/d/1eHaY18a8A9IcSdp1K8H6x8fbOy06t2VsZHhMHf-1x7Y/edit?usp=sharing"",""แผน!AG50"")"),1000)</f>
        <v>1000</v>
      </c>
      <c r="M204" s="428"/>
      <c r="N204" s="683">
        <v>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IFERROR(__xludf.DUMMYFUNCTION("IMPORTRANGE(""https://docs.google.com/spreadsheets/d/1eHaY18a8A9IcSdp1K8H6x8fbOy06t2VsZHhMHf-1x7Y/edit?usp=sharing"",""แผน!AH50"")"),0)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IFERROR(__xludf.DUMMYFUNCTION("IMPORTRANGE(""https://docs.google.com/spreadsheets/d/1eHaY18a8A9IcSdp1K8H6x8fbOy06t2VsZHhMHf-1x7Y/edit?usp=sharing"",""แผน!AI50"")"),8000)</f>
        <v>8000</v>
      </c>
      <c r="M206" s="428"/>
      <c r="N206" s="683">
        <v>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IFERROR(__xludf.DUMMYFUNCTION("IMPORTRANGE(""https://docs.google.com/spreadsheets/d/1eHaY18a8A9IcSdp1K8H6x8fbOy06t2VsZHhMHf-1x7Y/edit?usp=sharing"",""แผน!AJ50"")"),4000)</f>
        <v>4000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IFERROR(__xludf.DUMMYFUNCTION("IMPORTRANGE(""https://docs.google.com/spreadsheets/d/1eHaY18a8A9IcSdp1K8H6x8fbOy06t2VsZHhMHf-1x7Y/edit?usp=sharing"",""แผน!AK50"")"),1)</f>
        <v>1</v>
      </c>
      <c r="J209" s="595">
        <v>0</v>
      </c>
      <c r="K209" s="621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IFERROR(__xludf.DUMMYFUNCTION("IMPORTRANGE(""https://docs.google.com/spreadsheets/d/1eHaY18a8A9IcSdp1K8H6x8fbOy06t2VsZHhMHf-1x7Y/edit?usp=sharing"",""แผน!JX50"")"),1)</f>
        <v>1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IFERROR(__xludf.DUMMYFUNCTION("IMPORTRANGE(""https://docs.google.com/spreadsheets/d/1eHaY18a8A9IcSdp1K8H6x8fbOy06t2VsZHhMHf-1x7Y/edit?usp=sharing"",""แผน!JY50"")"),0)</f>
        <v>0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3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42000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IFERROR(__xludf.DUMMYFUNCTION("IMPORTRANGE(""https://docs.google.com/spreadsheets/d/1eHaY18a8A9IcSdp1K8H6x8fbOy06t2VsZHhMHf-1x7Y/edit?usp=sharing"",""แผน!AM50"")"),3000)</f>
        <v>3000</v>
      </c>
      <c r="M215" s="428"/>
      <c r="N215" s="683">
        <v>0</v>
      </c>
      <c r="O215" s="525"/>
      <c r="P215" s="428"/>
    </row>
    <row r="216" spans="1:16" ht="18.75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IFERROR(__xludf.DUMMYFUNCTION("IMPORTRANGE(""https://docs.google.com/spreadsheets/d/1eHaY18a8A9IcSdp1K8H6x8fbOy06t2VsZHhMHf-1x7Y/edit?usp=sharing"",""แผน!AN50"")"),15000)</f>
        <v>15000</v>
      </c>
      <c r="M216" s="428"/>
      <c r="N216" s="683">
        <v>0</v>
      </c>
      <c r="O216" s="525"/>
      <c r="P216" s="428"/>
    </row>
    <row r="217" spans="1:16" ht="18.75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IFERROR(__xludf.DUMMYFUNCTION("IMPORTRANGE(""https://docs.google.com/spreadsheets/d/1eHaY18a8A9IcSdp1K8H6x8fbOy06t2VsZHhMHf-1x7Y/edit?usp=sharing"",""แผน!AO50"")"),24000)</f>
        <v>24000</v>
      </c>
      <c r="M217" s="428"/>
      <c r="N217" s="683">
        <v>0</v>
      </c>
      <c r="O217" s="525"/>
      <c r="P217" s="428"/>
    </row>
    <row r="218" spans="1:16" ht="19.5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IFERROR(__xludf.DUMMYFUNCTION("IMPORTRANGE(""https://docs.google.com/spreadsheets/d/1eHaY18a8A9IcSdp1K8H6x8fbOy06t2VsZHhMHf-1x7Y/edit?usp=sharing"",""แผน!AP50"")"),3)</f>
        <v>3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IFERROR(__xludf.DUMMYFUNCTION("IMPORTRANGE(""https://docs.google.com/spreadsheets/d/1eHaY18a8A9IcSdp1K8H6x8fbOy06t2VsZHhMHf-1x7Y/edit?usp=sharing"",""แผน!AP50"")"),3)</f>
        <v>3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10000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4500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2" t="s">
        <v>156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IFERROR(__xludf.DUMMYFUNCTION("IMPORTRANGE(""https://docs.google.com/spreadsheets/d/1eHaY18a8A9IcSdp1K8H6x8fbOy06t2VsZHhMHf-1x7Y/edit?usp=sharing"",""แผน!AR50"")"),3000)</f>
        <v>3000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IFERROR(__xludf.DUMMYFUNCTION("IMPORTRANGE(""https://docs.google.com/spreadsheets/d/1eHaY18a8A9IcSdp1K8H6x8fbOy06t2VsZHhMHf-1x7Y/edit?usp=sharing"",""แผน!AS50"")"),1500)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IFERROR(__xludf.DUMMYFUNCTION("IMPORTRANGE(""https://docs.google.com/spreadsheets/d/1eHaY18a8A9IcSdp1K8H6x8fbOy06t2VsZHhMHf-1x7Y/edit?usp=sharing"",""แผน!AT50"")"),0)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IFERROR(__xludf.DUMMYFUNCTION("IMPORTRANGE(""https://docs.google.com/spreadsheets/d/1eHaY18a8A9IcSdp1K8H6x8fbOy06t2VsZHhMHf-1x7Y/edit?usp=sharing"",""แผน!AV50"")"),10000)</f>
        <v>10000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IFERROR(__xludf.DUMMYFUNCTION("IMPORTRANGE(""https://docs.google.com/spreadsheets/d/1eHaY18a8A9IcSdp1K8H6x8fbOy06t2VsZHhMHf-1x7Y/edit?usp=sharing"",""แผน!AV50"")"),10000)</f>
        <v>10000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IFERROR(__xludf.DUMMYFUNCTION("IMPORTRANGE(""https://docs.google.com/spreadsheets/d/1eHaY18a8A9IcSdp1K8H6x8fbOy06t2VsZHhMHf-1x7Y/edit?usp=sharing"",""แผน!AU50"")"),0)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432"/>
      <c r="B231" s="434"/>
      <c r="C231" s="682" t="s">
        <v>99</v>
      </c>
      <c r="D231" s="433"/>
      <c r="E231" s="433"/>
      <c r="F231" s="433"/>
      <c r="G231" s="436"/>
      <c r="H231" s="437" t="s">
        <v>33</v>
      </c>
      <c r="I231" s="438">
        <f ca="1">I242+I253</f>
        <v>0</v>
      </c>
      <c r="J231" s="438">
        <f>J242+J253</f>
        <v>0</v>
      </c>
      <c r="K231" s="439">
        <f ca="1">IF(I231&gt;0,J231*100/I231,0)</f>
        <v>0</v>
      </c>
      <c r="L231" s="571"/>
      <c r="M231" s="571"/>
      <c r="N231" s="571"/>
      <c r="O231" s="571"/>
      <c r="P231" s="571"/>
    </row>
    <row r="232" spans="1:16" ht="19.5" hidden="1" x14ac:dyDescent="0.3">
      <c r="A232" s="535"/>
      <c r="B232" s="418"/>
      <c r="C232" s="570" t="s">
        <v>16</v>
      </c>
      <c r="D232" s="579" t="s">
        <v>17</v>
      </c>
      <c r="E232" s="418"/>
      <c r="F232" s="418"/>
      <c r="G232" s="422"/>
      <c r="H232" s="681" t="s">
        <v>12</v>
      </c>
      <c r="I232" s="526"/>
      <c r="J232" s="526"/>
      <c r="K232" s="525"/>
      <c r="L232" s="577">
        <f ca="1">L243+L254</f>
        <v>0</v>
      </c>
      <c r="M232" s="428"/>
      <c r="N232" s="577">
        <f>N243+N254</f>
        <v>0</v>
      </c>
      <c r="O232" s="428"/>
      <c r="P232" s="428"/>
    </row>
    <row r="233" spans="1:16" ht="18.75" hidden="1" x14ac:dyDescent="0.25">
      <c r="A233" s="535"/>
      <c r="B233" s="419"/>
      <c r="C233" s="418"/>
      <c r="D233" s="293" t="s">
        <v>80</v>
      </c>
      <c r="E233" s="418"/>
      <c r="F233" s="418"/>
      <c r="G233" s="422"/>
      <c r="H233" s="576" t="s">
        <v>12</v>
      </c>
      <c r="I233" s="526"/>
      <c r="J233" s="526"/>
      <c r="K233" s="525"/>
      <c r="L233" s="425">
        <f ca="1">L244+L255</f>
        <v>0</v>
      </c>
      <c r="M233" s="428"/>
      <c r="N233" s="425">
        <f>N244+N255</f>
        <v>0</v>
      </c>
      <c r="O233" s="428"/>
      <c r="P233" s="428"/>
    </row>
    <row r="234" spans="1:16" ht="18.75" hidden="1" x14ac:dyDescent="0.25">
      <c r="A234" s="417"/>
      <c r="B234" s="419"/>
      <c r="C234" s="419"/>
      <c r="D234" s="293" t="s">
        <v>82</v>
      </c>
      <c r="E234" s="418"/>
      <c r="F234" s="418"/>
      <c r="G234" s="422"/>
      <c r="H234" s="576" t="s">
        <v>12</v>
      </c>
      <c r="I234" s="427"/>
      <c r="J234" s="427"/>
      <c r="K234" s="428"/>
      <c r="L234" s="425">
        <f ca="1">L245+L256</f>
        <v>0</v>
      </c>
      <c r="M234" s="428"/>
      <c r="N234" s="425">
        <f>N245+N256</f>
        <v>0</v>
      </c>
      <c r="O234" s="428"/>
      <c r="P234" s="428"/>
    </row>
    <row r="235" spans="1:16" ht="18.75" hidden="1" x14ac:dyDescent="0.25">
      <c r="A235" s="417"/>
      <c r="B235" s="419"/>
      <c r="C235" s="419"/>
      <c r="D235" s="293" t="s">
        <v>100</v>
      </c>
      <c r="E235" s="418"/>
      <c r="F235" s="418"/>
      <c r="G235" s="422"/>
      <c r="H235" s="576" t="s">
        <v>12</v>
      </c>
      <c r="I235" s="427"/>
      <c r="J235" s="427"/>
      <c r="K235" s="428"/>
      <c r="L235" s="425">
        <f ca="1">L246+L257</f>
        <v>0</v>
      </c>
      <c r="M235" s="428"/>
      <c r="N235" s="425">
        <f>N246+N257</f>
        <v>0</v>
      </c>
      <c r="O235" s="428"/>
      <c r="P235" s="428"/>
    </row>
    <row r="236" spans="1:16" ht="18.75" hidden="1" x14ac:dyDescent="0.25">
      <c r="A236" s="417"/>
      <c r="B236" s="419"/>
      <c r="C236" s="419"/>
      <c r="D236" s="293" t="s">
        <v>101</v>
      </c>
      <c r="E236" s="418"/>
      <c r="F236" s="418"/>
      <c r="G236" s="422"/>
      <c r="H236" s="576" t="s">
        <v>12</v>
      </c>
      <c r="I236" s="427"/>
      <c r="J236" s="427"/>
      <c r="K236" s="428"/>
      <c r="L236" s="425">
        <f ca="1">L247+L258</f>
        <v>0</v>
      </c>
      <c r="M236" s="428"/>
      <c r="N236" s="425">
        <f>N247+N258</f>
        <v>0</v>
      </c>
      <c r="O236" s="428"/>
      <c r="P236" s="428"/>
    </row>
    <row r="237" spans="1:16" ht="19.5" hidden="1" x14ac:dyDescent="0.3">
      <c r="A237" s="532"/>
      <c r="B237" s="430"/>
      <c r="C237" s="680" t="s">
        <v>16</v>
      </c>
      <c r="D237" s="569" t="s">
        <v>36</v>
      </c>
      <c r="E237" s="529"/>
      <c r="F237" s="529"/>
      <c r="G237" s="528"/>
      <c r="H237" s="527"/>
      <c r="I237" s="526"/>
      <c r="J237" s="427"/>
      <c r="K237" s="428"/>
      <c r="L237" s="428"/>
      <c r="M237" s="428"/>
      <c r="N237" s="428"/>
      <c r="O237" s="525"/>
      <c r="P237" s="525"/>
    </row>
    <row r="238" spans="1:16" ht="18.75" hidden="1" x14ac:dyDescent="0.25">
      <c r="A238" s="532"/>
      <c r="B238" s="430"/>
      <c r="C238" s="430"/>
      <c r="D238" s="421" t="s">
        <v>102</v>
      </c>
      <c r="E238" s="420"/>
      <c r="F238" s="420"/>
      <c r="G238" s="527"/>
      <c r="H238" s="566" t="s">
        <v>33</v>
      </c>
      <c r="I238" s="424">
        <f ca="1">I249+I260</f>
        <v>0</v>
      </c>
      <c r="J238" s="424">
        <f>J249+J260</f>
        <v>0</v>
      </c>
      <c r="K238" s="425">
        <f ca="1">IF(I238&gt;0,J238*100/I238,0)</f>
        <v>0</v>
      </c>
      <c r="L238" s="428"/>
      <c r="M238" s="428"/>
      <c r="N238" s="428"/>
      <c r="O238" s="428"/>
      <c r="P238" s="428"/>
    </row>
    <row r="239" spans="1:16" ht="18.75" hidden="1" x14ac:dyDescent="0.25">
      <c r="A239" s="532"/>
      <c r="B239" s="430"/>
      <c r="C239" s="430"/>
      <c r="D239" s="679" t="s">
        <v>41</v>
      </c>
      <c r="E239" s="420"/>
      <c r="F239" s="420"/>
      <c r="G239" s="527"/>
      <c r="H239" s="527"/>
      <c r="I239" s="427"/>
      <c r="J239" s="427"/>
      <c r="K239" s="428"/>
      <c r="L239" s="428"/>
      <c r="M239" s="428"/>
      <c r="N239" s="428"/>
      <c r="O239" s="525"/>
      <c r="P239" s="525"/>
    </row>
    <row r="240" spans="1:16" ht="18.75" hidden="1" x14ac:dyDescent="0.25">
      <c r="A240" s="532"/>
      <c r="B240" s="430"/>
      <c r="C240" s="430"/>
      <c r="D240" s="430"/>
      <c r="E240" s="567" t="s">
        <v>103</v>
      </c>
      <c r="F240" s="420"/>
      <c r="G240" s="527"/>
      <c r="H240" s="566" t="s">
        <v>33</v>
      </c>
      <c r="I240" s="424">
        <f>I251+I262</f>
        <v>0</v>
      </c>
      <c r="J240" s="424">
        <f>J251+J262</f>
        <v>0</v>
      </c>
      <c r="K240" s="425">
        <f>IF(I240&gt;0,J240*100/I240,0)</f>
        <v>0</v>
      </c>
      <c r="L240" s="428"/>
      <c r="M240" s="428"/>
      <c r="N240" s="428"/>
      <c r="O240" s="428"/>
      <c r="P240" s="428"/>
    </row>
    <row r="241" spans="1:16" ht="18.75" hidden="1" x14ac:dyDescent="0.25">
      <c r="A241" s="532"/>
      <c r="B241" s="430"/>
      <c r="C241" s="430"/>
      <c r="D241" s="430"/>
      <c r="E241" s="567" t="s">
        <v>104</v>
      </c>
      <c r="F241" s="420"/>
      <c r="G241" s="527"/>
      <c r="H241" s="566" t="s">
        <v>54</v>
      </c>
      <c r="I241" s="424">
        <f>I252+I263</f>
        <v>0</v>
      </c>
      <c r="J241" s="424">
        <f>J252+J263</f>
        <v>0</v>
      </c>
      <c r="K241" s="425">
        <f>IF(I241&gt;0,J241*100/I241,0)</f>
        <v>0</v>
      </c>
      <c r="L241" s="428"/>
      <c r="M241" s="428"/>
      <c r="N241" s="428"/>
      <c r="O241" s="428"/>
      <c r="P241" s="428"/>
    </row>
    <row r="242" spans="1:16" ht="19.5" hidden="1" x14ac:dyDescent="0.3">
      <c r="A242" s="432"/>
      <c r="B242" s="434"/>
      <c r="C242" s="678" t="s">
        <v>105</v>
      </c>
      <c r="D242" s="433"/>
      <c r="E242" s="433"/>
      <c r="F242" s="433"/>
      <c r="G242" s="436"/>
      <c r="H242" s="677" t="s">
        <v>33</v>
      </c>
      <c r="I242" s="676">
        <f ca="1">I249</f>
        <v>0</v>
      </c>
      <c r="J242" s="676">
        <f>J249</f>
        <v>0</v>
      </c>
      <c r="K242" s="675">
        <f ca="1">IF(I242&gt;0,J242*100/I242,0)</f>
        <v>0</v>
      </c>
      <c r="L242" s="571"/>
      <c r="M242" s="571"/>
      <c r="N242" s="571"/>
      <c r="O242" s="571"/>
      <c r="P242" s="571"/>
    </row>
    <row r="243" spans="1:16" ht="19.5" hidden="1" x14ac:dyDescent="0.3">
      <c r="A243" s="535"/>
      <c r="B243" s="418"/>
      <c r="C243" s="531" t="s">
        <v>16</v>
      </c>
      <c r="D243" s="541" t="s">
        <v>17</v>
      </c>
      <c r="E243" s="418"/>
      <c r="F243" s="418"/>
      <c r="G243" s="422"/>
      <c r="H243" s="673" t="s">
        <v>12</v>
      </c>
      <c r="I243" s="526"/>
      <c r="J243" s="526"/>
      <c r="K243" s="525"/>
      <c r="L243" s="539">
        <f ca="1">L244+L245+L246+L247</f>
        <v>0</v>
      </c>
      <c r="M243" s="428"/>
      <c r="N243" s="539">
        <f>N244+N245+N246+N247</f>
        <v>0</v>
      </c>
      <c r="O243" s="539">
        <f ca="1">IF(L243&gt;0,N243*100/L243,0)</f>
        <v>0</v>
      </c>
      <c r="P243" s="539">
        <f>IF(M243&gt;0,N243*100/M243,0)</f>
        <v>0</v>
      </c>
    </row>
    <row r="244" spans="1:16" ht="18.75" hidden="1" x14ac:dyDescent="0.25">
      <c r="A244" s="535"/>
      <c r="B244" s="419"/>
      <c r="C244" s="418"/>
      <c r="D244" s="534" t="s">
        <v>80</v>
      </c>
      <c r="E244" s="418"/>
      <c r="F244" s="418"/>
      <c r="G244" s="422"/>
      <c r="H244" s="536" t="s">
        <v>12</v>
      </c>
      <c r="I244" s="526"/>
      <c r="J244" s="526"/>
      <c r="K244" s="525"/>
      <c r="L244" s="521">
        <f ca="1">IFERROR(__xludf.DUMMYFUNCTION("IMPORTRANGE(""https://docs.google.com/spreadsheets/d/1eHaY18a8A9IcSdp1K8H6x8fbOy06t2VsZHhMHf-1x7Y/edit?usp=sharing"",""แผน!AX50"")"),0)</f>
        <v>0</v>
      </c>
      <c r="M244" s="428"/>
      <c r="N244" s="672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34" t="s">
        <v>82</v>
      </c>
      <c r="E245" s="418"/>
      <c r="F245" s="418"/>
      <c r="G245" s="422"/>
      <c r="H245" s="536" t="s">
        <v>12</v>
      </c>
      <c r="I245" s="427"/>
      <c r="J245" s="427"/>
      <c r="K245" s="428"/>
      <c r="L245" s="521">
        <f ca="1">IFERROR(__xludf.DUMMYFUNCTION("IMPORTRANGE(""https://docs.google.com/spreadsheets/d/1eHaY18a8A9IcSdp1K8H6x8fbOy06t2VsZHhMHf-1x7Y/edit?usp=sharing"",""แผน!AY50"")"),0)</f>
        <v>0</v>
      </c>
      <c r="M245" s="428"/>
      <c r="N245" s="672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34" t="s">
        <v>100</v>
      </c>
      <c r="E246" s="418"/>
      <c r="F246" s="418"/>
      <c r="G246" s="422"/>
      <c r="H246" s="536" t="s">
        <v>12</v>
      </c>
      <c r="I246" s="427"/>
      <c r="J246" s="427"/>
      <c r="K246" s="428"/>
      <c r="L246" s="521">
        <f ca="1">IFERROR(__xludf.DUMMYFUNCTION("IMPORTRANGE(""https://docs.google.com/spreadsheets/d/1eHaY18a8A9IcSdp1K8H6x8fbOy06t2VsZHhMHf-1x7Y/edit?usp=sharing"",""แผน!AZ50"")"),0)</f>
        <v>0</v>
      </c>
      <c r="M246" s="428"/>
      <c r="N246" s="672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34" t="s">
        <v>101</v>
      </c>
      <c r="E247" s="418"/>
      <c r="F247" s="418"/>
      <c r="G247" s="422"/>
      <c r="H247" s="536" t="s">
        <v>12</v>
      </c>
      <c r="I247" s="427"/>
      <c r="J247" s="427"/>
      <c r="K247" s="428"/>
      <c r="L247" s="521">
        <f ca="1">IFERROR(__xludf.DUMMYFUNCTION("IMPORTRANGE(""https://docs.google.com/spreadsheets/d/1eHaY18a8A9IcSdp1K8H6x8fbOy06t2VsZHhMHf-1x7Y/edit?usp=sharing"",""แผน!BA50"")"),0)</f>
        <v>0</v>
      </c>
      <c r="M247" s="428"/>
      <c r="N247" s="672">
        <v>0</v>
      </c>
      <c r="O247" s="428"/>
      <c r="P247" s="428"/>
    </row>
    <row r="248" spans="1:16" ht="19.5" hidden="1" x14ac:dyDescent="0.3">
      <c r="A248" s="532"/>
      <c r="B248" s="430"/>
      <c r="C248" s="671" t="s">
        <v>16</v>
      </c>
      <c r="D248" s="530" t="s">
        <v>36</v>
      </c>
      <c r="E248" s="529"/>
      <c r="F248" s="529"/>
      <c r="G248" s="528"/>
      <c r="H248" s="527"/>
      <c r="I248" s="526"/>
      <c r="J248" s="427"/>
      <c r="K248" s="428"/>
      <c r="L248" s="428"/>
      <c r="M248" s="428"/>
      <c r="N248" s="428"/>
      <c r="O248" s="525"/>
      <c r="P248" s="525"/>
    </row>
    <row r="249" spans="1:16" ht="18.75" hidden="1" x14ac:dyDescent="0.25">
      <c r="A249" s="532"/>
      <c r="B249" s="430"/>
      <c r="C249" s="430"/>
      <c r="D249" s="524" t="s">
        <v>102</v>
      </c>
      <c r="E249" s="420"/>
      <c r="F249" s="420"/>
      <c r="G249" s="527"/>
      <c r="H249" s="668" t="s">
        <v>33</v>
      </c>
      <c r="I249" s="199">
        <f ca="1">IFERROR(__xludf.DUMMYFUNCTION("IMPORTRANGE(""https://docs.google.com/spreadsheets/d/1eHaY18a8A9IcSdp1K8H6x8fbOy06t2VsZHhMHf-1x7Y/edit?usp=sharing"",""แผน!BG50"")"),0)</f>
        <v>0</v>
      </c>
      <c r="J249" s="522">
        <v>0</v>
      </c>
      <c r="K249" s="521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2"/>
      <c r="B250" s="430"/>
      <c r="C250" s="430"/>
      <c r="D250" s="670" t="s">
        <v>41</v>
      </c>
      <c r="E250" s="420"/>
      <c r="F250" s="420"/>
      <c r="G250" s="527"/>
      <c r="H250" s="527"/>
      <c r="I250" s="427"/>
      <c r="J250" s="427"/>
      <c r="K250" s="428"/>
      <c r="L250" s="428"/>
      <c r="M250" s="428"/>
      <c r="N250" s="428"/>
      <c r="O250" s="525"/>
      <c r="P250" s="525"/>
    </row>
    <row r="251" spans="1:16" ht="18.75" hidden="1" x14ac:dyDescent="0.25">
      <c r="A251" s="532"/>
      <c r="B251" s="430"/>
      <c r="C251" s="430"/>
      <c r="D251" s="430"/>
      <c r="E251" s="669" t="s">
        <v>103</v>
      </c>
      <c r="F251" s="420"/>
      <c r="G251" s="527"/>
      <c r="H251" s="668" t="s">
        <v>33</v>
      </c>
      <c r="I251" s="199">
        <v>0</v>
      </c>
      <c r="J251" s="522">
        <v>0</v>
      </c>
      <c r="K251" s="521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2"/>
      <c r="B252" s="430"/>
      <c r="C252" s="430"/>
      <c r="D252" s="430"/>
      <c r="E252" s="669" t="s">
        <v>104</v>
      </c>
      <c r="F252" s="420"/>
      <c r="G252" s="527"/>
      <c r="H252" s="668" t="s">
        <v>54</v>
      </c>
      <c r="I252" s="199">
        <v>0</v>
      </c>
      <c r="J252" s="522">
        <v>0</v>
      </c>
      <c r="K252" s="521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78" t="s">
        <v>106</v>
      </c>
      <c r="D253" s="433"/>
      <c r="E253" s="433"/>
      <c r="F253" s="433"/>
      <c r="G253" s="436"/>
      <c r="H253" s="677" t="s">
        <v>33</v>
      </c>
      <c r="I253" s="676">
        <f ca="1">I260</f>
        <v>0</v>
      </c>
      <c r="J253" s="676">
        <f>J260</f>
        <v>0</v>
      </c>
      <c r="K253" s="675">
        <f ca="1">IF(I253&gt;0,J253*100/I253,0)</f>
        <v>0</v>
      </c>
      <c r="L253" s="571"/>
      <c r="M253" s="571"/>
      <c r="N253" s="571"/>
      <c r="O253" s="571"/>
      <c r="P253" s="571"/>
    </row>
    <row r="254" spans="1:16" ht="19.5" hidden="1" x14ac:dyDescent="0.3">
      <c r="A254" s="535"/>
      <c r="B254" s="418"/>
      <c r="C254" s="531" t="s">
        <v>16</v>
      </c>
      <c r="D254" s="674" t="s">
        <v>17</v>
      </c>
      <c r="E254" s="418"/>
      <c r="F254" s="418"/>
      <c r="G254" s="422"/>
      <c r="H254" s="673" t="s">
        <v>12</v>
      </c>
      <c r="I254" s="526"/>
      <c r="J254" s="526"/>
      <c r="K254" s="525"/>
      <c r="L254" s="539">
        <f ca="1">L255+L256+L257+L258</f>
        <v>0</v>
      </c>
      <c r="M254" s="428"/>
      <c r="N254" s="539">
        <f>N255+N256+N257+N258</f>
        <v>0</v>
      </c>
      <c r="O254" s="539">
        <f ca="1">IF(L254&gt;0,N254*100/L254,0)</f>
        <v>0</v>
      </c>
      <c r="P254" s="539">
        <f>IF(M254&gt;0,N254*100/M254,0)</f>
        <v>0</v>
      </c>
    </row>
    <row r="255" spans="1:16" ht="18.75" hidden="1" x14ac:dyDescent="0.25">
      <c r="A255" s="535"/>
      <c r="B255" s="419"/>
      <c r="C255" s="418"/>
      <c r="D255" s="534" t="s">
        <v>80</v>
      </c>
      <c r="E255" s="418"/>
      <c r="F255" s="418"/>
      <c r="G255" s="422"/>
      <c r="H255" s="536" t="s">
        <v>12</v>
      </c>
      <c r="I255" s="526"/>
      <c r="J255" s="526"/>
      <c r="K255" s="525"/>
      <c r="L255" s="521">
        <f ca="1">IFERROR(__xludf.DUMMYFUNCTION("IMPORTRANGE(""https://docs.google.com/spreadsheets/d/1eHaY18a8A9IcSdp1K8H6x8fbOy06t2VsZHhMHf-1x7Y/edit?usp=sharing"",""แผน!BB50"")"),0)</f>
        <v>0</v>
      </c>
      <c r="M255" s="428"/>
      <c r="N255" s="672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34" t="s">
        <v>82</v>
      </c>
      <c r="E256" s="418"/>
      <c r="F256" s="418"/>
      <c r="G256" s="422"/>
      <c r="H256" s="536" t="s">
        <v>12</v>
      </c>
      <c r="I256" s="427"/>
      <c r="J256" s="427"/>
      <c r="K256" s="428"/>
      <c r="L256" s="521">
        <f ca="1">IFERROR(__xludf.DUMMYFUNCTION("IMPORTRANGE(""https://docs.google.com/spreadsheets/d/1eHaY18a8A9IcSdp1K8H6x8fbOy06t2VsZHhMHf-1x7Y/edit?usp=sharing"",""แผน!BC50"")"),0)</f>
        <v>0</v>
      </c>
      <c r="M256" s="428"/>
      <c r="N256" s="672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34" t="s">
        <v>100</v>
      </c>
      <c r="E257" s="418"/>
      <c r="F257" s="418"/>
      <c r="G257" s="422"/>
      <c r="H257" s="536" t="s">
        <v>12</v>
      </c>
      <c r="I257" s="427"/>
      <c r="J257" s="427"/>
      <c r="K257" s="428"/>
      <c r="L257" s="521">
        <f ca="1">IFERROR(__xludf.DUMMYFUNCTION("IMPORTRANGE(""https://docs.google.com/spreadsheets/d/1eHaY18a8A9IcSdp1K8H6x8fbOy06t2VsZHhMHf-1x7Y/edit?usp=sharing"",""แผน!BD50"")"),0)</f>
        <v>0</v>
      </c>
      <c r="M257" s="428"/>
      <c r="N257" s="672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34" t="s">
        <v>101</v>
      </c>
      <c r="E258" s="418"/>
      <c r="F258" s="418"/>
      <c r="G258" s="422"/>
      <c r="H258" s="536" t="s">
        <v>12</v>
      </c>
      <c r="I258" s="427"/>
      <c r="J258" s="427"/>
      <c r="K258" s="428"/>
      <c r="L258" s="521">
        <f ca="1">IFERROR(__xludf.DUMMYFUNCTION("IMPORTRANGE(""https://docs.google.com/spreadsheets/d/1eHaY18a8A9IcSdp1K8H6x8fbOy06t2VsZHhMHf-1x7Y/edit?usp=sharing"",""แผน!BE50"")"),0)</f>
        <v>0</v>
      </c>
      <c r="M258" s="428"/>
      <c r="N258" s="672">
        <v>0</v>
      </c>
      <c r="O258" s="428"/>
      <c r="P258" s="428"/>
    </row>
    <row r="259" spans="1:16" ht="19.5" hidden="1" x14ac:dyDescent="0.3">
      <c r="A259" s="532"/>
      <c r="B259" s="430"/>
      <c r="C259" s="671" t="s">
        <v>16</v>
      </c>
      <c r="D259" s="530" t="s">
        <v>36</v>
      </c>
      <c r="E259" s="529"/>
      <c r="F259" s="529"/>
      <c r="G259" s="528"/>
      <c r="H259" s="527"/>
      <c r="I259" s="526"/>
      <c r="J259" s="427"/>
      <c r="K259" s="428"/>
      <c r="L259" s="428"/>
      <c r="M259" s="428"/>
      <c r="N259" s="428"/>
      <c r="O259" s="525"/>
      <c r="P259" s="525"/>
    </row>
    <row r="260" spans="1:16" ht="18.75" hidden="1" x14ac:dyDescent="0.25">
      <c r="A260" s="532"/>
      <c r="B260" s="430"/>
      <c r="C260" s="430"/>
      <c r="D260" s="524" t="s">
        <v>102</v>
      </c>
      <c r="E260" s="420"/>
      <c r="F260" s="420"/>
      <c r="G260" s="527"/>
      <c r="H260" s="668" t="s">
        <v>33</v>
      </c>
      <c r="I260" s="199">
        <f ca="1">IFERROR(__xludf.DUMMYFUNCTION("IMPORTRANGE(""https://docs.google.com/spreadsheets/d/1eHaY18a8A9IcSdp1K8H6x8fbOy06t2VsZHhMHf-1x7Y/edit?usp=sharing"",""แผน!BH50"")"),0)</f>
        <v>0</v>
      </c>
      <c r="J260" s="522">
        <v>0</v>
      </c>
      <c r="K260" s="521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2"/>
      <c r="B261" s="430"/>
      <c r="C261" s="430"/>
      <c r="D261" s="670" t="s">
        <v>41</v>
      </c>
      <c r="E261" s="420"/>
      <c r="F261" s="420"/>
      <c r="G261" s="527"/>
      <c r="H261" s="527"/>
      <c r="I261" s="427"/>
      <c r="J261" s="427"/>
      <c r="K261" s="428"/>
      <c r="L261" s="428"/>
      <c r="M261" s="428"/>
      <c r="N261" s="428"/>
      <c r="O261" s="525"/>
      <c r="P261" s="525"/>
    </row>
    <row r="262" spans="1:16" ht="18.75" hidden="1" x14ac:dyDescent="0.25">
      <c r="A262" s="532"/>
      <c r="B262" s="430"/>
      <c r="C262" s="430"/>
      <c r="D262" s="430"/>
      <c r="E262" s="669" t="s">
        <v>103</v>
      </c>
      <c r="F262" s="420"/>
      <c r="G262" s="527"/>
      <c r="H262" s="668" t="s">
        <v>33</v>
      </c>
      <c r="I262" s="427"/>
      <c r="J262" s="522">
        <v>0</v>
      </c>
      <c r="K262" s="521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2"/>
      <c r="B263" s="430"/>
      <c r="C263" s="430"/>
      <c r="D263" s="430"/>
      <c r="E263" s="669" t="s">
        <v>104</v>
      </c>
      <c r="F263" s="420"/>
      <c r="G263" s="527"/>
      <c r="H263" s="668" t="s">
        <v>54</v>
      </c>
      <c r="I263" s="427"/>
      <c r="J263" s="522">
        <v>0</v>
      </c>
      <c r="K263" s="521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IFERROR(__xludf.DUMMYFUNCTION("IMPORTRANGE(""https://docs.google.com/spreadsheets/d/1-uDff_7J0KD5mKrp0Vvzr7lt3OU09vwQwhkpOPPYv2Y/edit?usp=sharing"",""งบพรบ!DE50"")"),0)</f>
        <v>0</v>
      </c>
      <c r="M271" s="521">
        <f ca="1">IFERROR(__xludf.DUMMYFUNCTION("IMPORTRANGE(""https://docs.google.com/spreadsheets/d/1-uDff_7J0KD5mKrp0Vvzr7lt3OU09vwQwhkpOPPYv2Y/edit?usp=sharing"",""งบพรบ!DJ50"")"),0)</f>
        <v>0</v>
      </c>
      <c r="N271" s="521">
        <f ca="1">IFERROR(__xludf.DUMMYFUNCTION("IMPORTRANGE(""https://docs.google.com/spreadsheets/d/1-uDff_7J0KD5mKrp0Vvzr7lt3OU09vwQwhkpOPPYv2Y/edit?usp=sharing"",""งบพรบ!DL50"")"),0)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IFERROR(__xludf.DUMMYFUNCTION("IMPORTRANGE(""https://docs.google.com/spreadsheets/d/1-uDff_7J0KD5mKrp0Vvzr7lt3OU09vwQwhkpOPPYv2Y/edit?usp=sharing"",""งบพรบ!DH50"")"),0)</f>
        <v>0</v>
      </c>
      <c r="M274" s="521">
        <f ca="1">IFERROR(__xludf.DUMMYFUNCTION("IMPORTRANGE(""https://docs.google.com/spreadsheets/d/1-uDff_7J0KD5mKrp0Vvzr7lt3OU09vwQwhkpOPPYv2Y/edit?usp=sharing"",""งบพรบ!DK50"")"),0)</f>
        <v>0</v>
      </c>
      <c r="N274" s="521">
        <f ca="1">IFERROR(__xludf.DUMMYFUNCTION("IMPORTRANGE(""https://docs.google.com/spreadsheets/d/1-uDff_7J0KD5mKrp0Vvzr7lt3OU09vwQwhkpOPPYv2Y/edit?usp=sharing"",""งบพรบ!DM50"")"),0)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hidden="1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hidden="1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hidden="1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0</v>
      </c>
      <c r="J280" s="629">
        <f>J293</f>
        <v>0</v>
      </c>
      <c r="K280" s="628">
        <f ca="1">IF(I280&gt;0,J280*100/I280,0)</f>
        <v>0</v>
      </c>
      <c r="L280" s="627"/>
      <c r="M280" s="627"/>
      <c r="N280" s="627"/>
      <c r="O280" s="627"/>
      <c r="P280" s="627"/>
    </row>
    <row r="281" spans="1:16" ht="19.5" hidden="1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0</v>
      </c>
      <c r="J281" s="629">
        <f>J292</f>
        <v>0</v>
      </c>
      <c r="K281" s="628">
        <f ca="1">IF(I281&gt;0,J281*100/I281,0)</f>
        <v>0</v>
      </c>
      <c r="L281" s="627"/>
      <c r="M281" s="627"/>
      <c r="N281" s="627"/>
      <c r="O281" s="627"/>
      <c r="P281" s="627"/>
    </row>
    <row r="282" spans="1:16" ht="19.5" hidden="1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0</v>
      </c>
      <c r="M282" s="577">
        <f ca="1">M283+M284</f>
        <v>0</v>
      </c>
      <c r="N282" s="577">
        <f ca="1">N283+N284</f>
        <v>0</v>
      </c>
      <c r="O282" s="577">
        <f ca="1">IF(L282&gt;0,N282*100/L282,0)</f>
        <v>0</v>
      </c>
      <c r="P282" s="577">
        <f ca="1">IF(M282&gt;0,N282*100/M282,0)</f>
        <v>0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hidden="1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0</v>
      </c>
      <c r="M284" s="425">
        <f ca="1">M287+M290</f>
        <v>0</v>
      </c>
      <c r="N284" s="425">
        <f ca="1">N287+N290</f>
        <v>0</v>
      </c>
      <c r="O284" s="425">
        <f ca="1">IF(L284&gt;0,N284*100/L284,0)</f>
        <v>0</v>
      </c>
      <c r="P284" s="425">
        <f ca="1">IF(M284&gt;0,N284*100/M284,0)</f>
        <v>0</v>
      </c>
    </row>
    <row r="285" spans="1:16" ht="18.75" hidden="1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0</v>
      </c>
      <c r="M285" s="425">
        <f ca="1">M286+M287</f>
        <v>0</v>
      </c>
      <c r="N285" s="425">
        <f ca="1">N286+N287</f>
        <v>0</v>
      </c>
      <c r="O285" s="425">
        <f ca="1">IF(L285&gt;0,N285*100/L285,0)</f>
        <v>0</v>
      </c>
      <c r="P285" s="425">
        <f ca="1">IF(M285&gt;0,N285*100/M285,0)</f>
        <v>0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hidden="1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IFERROR(__xludf.DUMMYFUNCTION("IMPORTRANGE(""https://docs.google.com/spreadsheets/d/1-uDff_7J0KD5mKrp0Vvzr7lt3OU09vwQwhkpOPPYv2Y/edit?usp=sharing"",""งบพรบ!DO50"")"),0)</f>
        <v>0</v>
      </c>
      <c r="M287" s="425">
        <f ca="1">IFERROR(__xludf.DUMMYFUNCTION("IMPORTRANGE(""https://docs.google.com/spreadsheets/d/1-uDff_7J0KD5mKrp0Vvzr7lt3OU09vwQwhkpOPPYv2Y/edit?usp=sharing"",""งบพรบ!DT50"")"),0)</f>
        <v>0</v>
      </c>
      <c r="N287" s="425">
        <f ca="1">IFERROR(__xludf.DUMMYFUNCTION("IMPORTRANGE(""https://docs.google.com/spreadsheets/d/1-uDff_7J0KD5mKrp0Vvzr7lt3OU09vwQwhkpOPPYv2Y/edit?usp=sharing"",""งบพรบ!DV50"")"),0)</f>
        <v>0</v>
      </c>
      <c r="O287" s="425">
        <f ca="1">IF(L287&gt;0,N287*100/L287,0)</f>
        <v>0</v>
      </c>
      <c r="P287" s="425">
        <f ca="1">IF(M287&gt;0,N287*100/M287,0)</f>
        <v>0</v>
      </c>
    </row>
    <row r="288" spans="1:16" ht="18.75" hidden="1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hidden="1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IFERROR(__xludf.DUMMYFUNCTION("IMPORTRANGE(""https://docs.google.com/spreadsheets/d/1-uDff_7J0KD5mKrp0Vvzr7lt3OU09vwQwhkpOPPYv2Y/edit?usp=sharing"",""งบพรบ!DR50"")"),0)</f>
        <v>0</v>
      </c>
      <c r="M290" s="425">
        <f ca="1">IFERROR(__xludf.DUMMYFUNCTION("IMPORTRANGE(""https://docs.google.com/spreadsheets/d/1-uDff_7J0KD5mKrp0Vvzr7lt3OU09vwQwhkpOPPYv2Y/edit?usp=sharing"",""งบพรบ!DU50"")"),0)</f>
        <v>0</v>
      </c>
      <c r="N290" s="425">
        <f ca="1">IFERROR(__xludf.DUMMYFUNCTION("IMPORTRANGE(""https://docs.google.com/spreadsheets/d/1-uDff_7J0KD5mKrp0Vvzr7lt3OU09vwQwhkpOPPYv2Y/edit?usp=sharing"",""งบพรบ!DW50"")"),0)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hidden="1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hidden="1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IFERROR(__xludf.DUMMYFUNCTION("IMPORTRANGE(""https://docs.google.com/spreadsheets/d/1eHaY18a8A9IcSdp1K8H6x8fbOy06t2VsZHhMHf-1x7Y/edit?usp=sharing"",""แผน!EE50"")"),0)</f>
        <v>0</v>
      </c>
      <c r="J292" s="595">
        <v>0</v>
      </c>
      <c r="K292" s="621">
        <f ca="1">IF(I292&gt;0,J292*100/I292,0)</f>
        <v>0</v>
      </c>
      <c r="L292" s="525"/>
      <c r="M292" s="525"/>
      <c r="N292" s="525"/>
      <c r="O292" s="525"/>
      <c r="P292" s="525"/>
    </row>
    <row r="293" spans="1:16" ht="19.5" hidden="1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IFERROR(__xludf.DUMMYFUNCTION("IMPORTRANGE(""https://docs.google.com/spreadsheets/d/1eHaY18a8A9IcSdp1K8H6x8fbOy06t2VsZHhMHf-1x7Y/edit?usp=sharing"",""แผน!ED50"")"),0)</f>
        <v>0</v>
      </c>
      <c r="J293" s="625">
        <f>J296</f>
        <v>0</v>
      </c>
      <c r="K293" s="624">
        <f ca="1">IF(I293&gt;0,J293*100/I293,0)</f>
        <v>0</v>
      </c>
      <c r="L293" s="525"/>
      <c r="M293" s="525"/>
      <c r="N293" s="525"/>
      <c r="O293" s="525"/>
      <c r="P293" s="525"/>
    </row>
    <row r="294" spans="1:16" ht="19.5" hidden="1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hidden="1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IFERROR(__xludf.DUMMYFUNCTION("IMPORTRANGE(""https://docs.google.com/spreadsheets/d/1eHaY18a8A9IcSdp1K8H6x8fbOy06t2VsZHhMHf-1x7Y/edit?usp=sharing"",""แผน!ED50"")"),0)</f>
        <v>0</v>
      </c>
      <c r="J295" s="595">
        <v>0</v>
      </c>
      <c r="K295" s="621">
        <f ca="1">IF(I295&gt;0,J295*100/I295,0)</f>
        <v>0</v>
      </c>
      <c r="L295" s="525"/>
      <c r="M295" s="525"/>
      <c r="N295" s="525"/>
      <c r="O295" s="525"/>
      <c r="P295" s="525"/>
    </row>
    <row r="296" spans="1:16" ht="19.5" hidden="1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IFERROR(__xludf.DUMMYFUNCTION("IMPORTRANGE(""https://docs.google.com/spreadsheets/d/1eHaY18a8A9IcSdp1K8H6x8fbOy06t2VsZHhMHf-1x7Y/edit?usp=sharing"",""แผน!ED50"")"),0)</f>
        <v>0</v>
      </c>
      <c r="J296" s="595">
        <v>0</v>
      </c>
      <c r="K296" s="621">
        <f ca="1">IF(I296&gt;0,J296*100/I296,0)</f>
        <v>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20</v>
      </c>
      <c r="J302" s="598">
        <f>J314</f>
        <v>0</v>
      </c>
      <c r="K302" s="597">
        <f ca="1">IF(I302&gt;0,J302*100/I302,0)</f>
        <v>0</v>
      </c>
      <c r="L302" s="580"/>
      <c r="M302" s="580"/>
      <c r="N302" s="580"/>
      <c r="O302" s="580"/>
      <c r="P302" s="580"/>
    </row>
    <row r="303" spans="1:16" ht="19.5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133500</v>
      </c>
      <c r="M303" s="577">
        <f ca="1">M304+M305</f>
        <v>100900</v>
      </c>
      <c r="N303" s="577">
        <f ca="1">N304+N305</f>
        <v>14600</v>
      </c>
      <c r="O303" s="577">
        <f ca="1">IF(L303&gt;0,N303*100/L303,0)</f>
        <v>10.936329588014981</v>
      </c>
      <c r="P303" s="577">
        <f ca="1">IF(M303&gt;0,N303*100/M303,0)</f>
        <v>14.469772051536175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133500</v>
      </c>
      <c r="M305" s="425">
        <f ca="1">M308+M311</f>
        <v>100900</v>
      </c>
      <c r="N305" s="425">
        <f ca="1">N308+N311</f>
        <v>14600</v>
      </c>
      <c r="O305" s="425">
        <f ca="1">IF(L305&gt;0,N305*100/L305,0)</f>
        <v>10.936329588014981</v>
      </c>
      <c r="P305" s="425">
        <f ca="1">IF(M305&gt;0,N305*100/M305,0)</f>
        <v>14.469772051536175</v>
      </c>
    </row>
    <row r="306" spans="1:16" ht="18.75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133500</v>
      </c>
      <c r="M306" s="425">
        <f ca="1">M307+M308</f>
        <v>100900</v>
      </c>
      <c r="N306" s="425">
        <f ca="1">N307+N308</f>
        <v>14600</v>
      </c>
      <c r="O306" s="425">
        <f ca="1">IF(L306&gt;0,N306*100/L306,0)</f>
        <v>10.936329588014981</v>
      </c>
      <c r="P306" s="425">
        <f ca="1">IF(M306&gt;0,N306*100/M306,0)</f>
        <v>14.469772051536175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IFERROR(__xludf.DUMMYFUNCTION("IMPORTRANGE(""https://docs.google.com/spreadsheets/d/1-uDff_7J0KD5mKrp0Vvzr7lt3OU09vwQwhkpOPPYv2Y/edit?usp=sharing"",""งบพรบ!DY50"")"),133500)</f>
        <v>133500</v>
      </c>
      <c r="M308" s="425">
        <f ca="1">IFERROR(__xludf.DUMMYFUNCTION("IMPORTRANGE(""https://docs.google.com/spreadsheets/d/1-uDff_7J0KD5mKrp0Vvzr7lt3OU09vwQwhkpOPPYv2Y/edit?usp=sharing"",""งบพรบ!ED50"")"),100900)</f>
        <v>100900</v>
      </c>
      <c r="N308" s="425">
        <f ca="1">IFERROR(__xludf.DUMMYFUNCTION("IMPORTRANGE(""https://docs.google.com/spreadsheets/d/1-uDff_7J0KD5mKrp0Vvzr7lt3OU09vwQwhkpOPPYv2Y/edit?usp=sharing"",""งบพรบ!EF50"")"),14600)</f>
        <v>14600</v>
      </c>
      <c r="O308" s="425">
        <f ca="1">IF(L308&gt;0,N308*100/L308,0)</f>
        <v>10.936329588014981</v>
      </c>
      <c r="P308" s="425">
        <f ca="1">IF(M308&gt;0,N308*100/M308,0)</f>
        <v>14.469772051536175</v>
      </c>
    </row>
    <row r="309" spans="1:16" ht="18.75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IFERROR(__xludf.DUMMYFUNCTION("IMPORTRANGE(""https://docs.google.com/spreadsheets/d/1-uDff_7J0KD5mKrp0Vvzr7lt3OU09vwQwhkpOPPYv2Y/edit?usp=sharing"",""งบพรบ!EB50"")"),0)</f>
        <v>0</v>
      </c>
      <c r="M311" s="425">
        <f ca="1">IFERROR(__xludf.DUMMYFUNCTION("IMPORTRANGE(""https://docs.google.com/spreadsheets/d/1-uDff_7J0KD5mKrp0Vvzr7lt3OU09vwQwhkpOPPYv2Y/edit?usp=sharing"",""งบพรบ!EE50"")"),0)</f>
        <v>0</v>
      </c>
      <c r="N311" s="425">
        <f ca="1">IFERROR(__xludf.DUMMYFUNCTION("IMPORTRANGE(""https://docs.google.com/spreadsheets/d/1-uDff_7J0KD5mKrp0Vvzr7lt3OU09vwQwhkpOPPYv2Y/edit?usp=sharing"",""งบพรบ!EG50"")"),0)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0</v>
      </c>
      <c r="K313" s="428"/>
      <c r="L313" s="428"/>
      <c r="M313" s="428"/>
      <c r="N313" s="428"/>
      <c r="O313" s="428"/>
      <c r="P313" s="428"/>
    </row>
    <row r="314" spans="1:16" ht="18.75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IFERROR(__xludf.DUMMYFUNCTION("IMPORTRANGE(""https://docs.google.com/spreadsheets/d/1eHaY18a8A9IcSdp1K8H6x8fbOy06t2VsZHhMHf-1x7Y/edit?usp=sharing"",""แผน!EF50"")"),20)</f>
        <v>20</v>
      </c>
      <c r="J314" s="595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IFERROR(__xludf.DUMMYFUNCTION("IMPORTRANGE(""https://docs.google.com/spreadsheets/d/1eHaY18a8A9IcSdp1K8H6x8fbOy06t2VsZHhMHf-1x7Y/edit?usp=sharing"",""แผน!EG50"")"),4)</f>
        <v>4</v>
      </c>
      <c r="J315" s="595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IFERROR(__xludf.DUMMYFUNCTION("IMPORTRANGE(""https://docs.google.com/spreadsheets/d/1eHaY18a8A9IcSdp1K8H6x8fbOy06t2VsZHhMHf-1x7Y/edit?usp=sharing"",""แผน!EH50"")"),20)</f>
        <v>20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424">
        <f ca="1">IFERROR(__xludf.DUMMYFUNCTION("IMPORTRANGE(""https://docs.google.com/spreadsheets/d/1eHaY18a8A9IcSdp1K8H6x8fbOy06t2VsZHhMHf-1x7Y/edit?usp=sharing"",""แผน!EI50"")"),4)</f>
        <v>4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hidden="1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0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hidden="1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0</v>
      </c>
      <c r="M320" s="577">
        <f ca="1">M321+M322</f>
        <v>0</v>
      </c>
      <c r="N320" s="577">
        <f ca="1">N321+N322</f>
        <v>0</v>
      </c>
      <c r="O320" s="577">
        <f ca="1">IF(L320&gt;0,N320*100/L320,0)</f>
        <v>0</v>
      </c>
      <c r="P320" s="577">
        <f ca="1">IF(M320&gt;0,N320*100/M320,0)</f>
        <v>0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hidden="1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hidden="1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IFERROR(__xludf.DUMMYFUNCTION("IMPORTRANGE(""https://docs.google.com/spreadsheets/d/1-uDff_7J0KD5mKrp0Vvzr7lt3OU09vwQwhkpOPPYv2Y/edit?usp=sharing"",""งบพรบ!EI50"")"),0)</f>
        <v>0</v>
      </c>
      <c r="M325" s="425">
        <f ca="1">IFERROR(__xludf.DUMMYFUNCTION("IMPORTRANGE(""https://docs.google.com/spreadsheets/d/1-uDff_7J0KD5mKrp0Vvzr7lt3OU09vwQwhkpOPPYv2Y/edit?usp=sharing"",""งบพรบ!EN50"")"),0)</f>
        <v>0</v>
      </c>
      <c r="N325" s="425">
        <f ca="1">IFERROR(__xludf.DUMMYFUNCTION("IMPORTRANGE(""https://docs.google.com/spreadsheets/d/1-uDff_7J0KD5mKrp0Vvzr7lt3OU09vwQwhkpOPPYv2Y/edit?usp=sharing"",""งบพรบ!EP50"")"),0)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hidden="1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IFERROR(__xludf.DUMMYFUNCTION("IMPORTRANGE(""https://docs.google.com/spreadsheets/d/1-uDff_7J0KD5mKrp0Vvzr7lt3OU09vwQwhkpOPPYv2Y/edit?usp=sharing"",""งบพรบ!EL50"")"),0)</f>
        <v>0</v>
      </c>
      <c r="M328" s="425">
        <f ca="1">IFERROR(__xludf.DUMMYFUNCTION("IMPORTRANGE(""https://docs.google.com/spreadsheets/d/1-uDff_7J0KD5mKrp0Vvzr7lt3OU09vwQwhkpOPPYv2Y/edit?usp=sharing"",""งบพรบ!EO50"")"),0)</f>
        <v>0</v>
      </c>
      <c r="N328" s="425">
        <f ca="1">IFERROR(__xludf.DUMMYFUNCTION("IMPORTRANGE(""https://docs.google.com/spreadsheets/d/1-uDff_7J0KD5mKrp0Vvzr7lt3OU09vwQwhkpOPPYv2Y/edit?usp=sharing"",""งบพรบ!EQ50"")"),0)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hidden="1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IFERROR(__xludf.DUMMYFUNCTION("IMPORTRANGE(""https://docs.google.com/spreadsheets/d/1eHaY18a8A9IcSdp1K8H6x8fbOy06t2VsZHhMHf-1x7Y/edit?usp=sharing"",""แผน!EJ50"")"),0)</f>
        <v>0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5860</v>
      </c>
      <c r="J332" s="402">
        <f ca="1">J344+J347+J348+J349+J353</f>
        <v>11712</v>
      </c>
      <c r="K332" s="403">
        <f ca="1">IF(I332&gt;0,J332*100/I332,0)</f>
        <v>199.86348122866895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122000</v>
      </c>
      <c r="M333" s="577">
        <f ca="1">M334+M335</f>
        <v>98550</v>
      </c>
      <c r="N333" s="577">
        <f ca="1">N334+N335</f>
        <v>26000</v>
      </c>
      <c r="O333" s="577">
        <f ca="1">IF(L333&gt;0,N333*100/L333,0)</f>
        <v>21.311475409836067</v>
      </c>
      <c r="P333" s="577">
        <f ca="1">IF(M333&gt;0,N333*100/M333,0)</f>
        <v>26.382546930492136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122000</v>
      </c>
      <c r="M335" s="425">
        <f ca="1">M338+M341</f>
        <v>98550</v>
      </c>
      <c r="N335" s="425">
        <f ca="1">N338+N341</f>
        <v>26000</v>
      </c>
      <c r="O335" s="425">
        <f ca="1">IF(L335&gt;0,N335*100/L335,0)</f>
        <v>21.311475409836067</v>
      </c>
      <c r="P335" s="425">
        <f ca="1">IF(M335&gt;0,N335*100/M335,0)</f>
        <v>26.382546930492136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122000</v>
      </c>
      <c r="M336" s="425">
        <f ca="1">M337+M338</f>
        <v>98550</v>
      </c>
      <c r="N336" s="425">
        <f ca="1">N337+N338</f>
        <v>26000</v>
      </c>
      <c r="O336" s="425">
        <f ca="1">IF(L336&gt;0,N336*100/L336,0)</f>
        <v>21.311475409836067</v>
      </c>
      <c r="P336" s="425">
        <f ca="1">IF(M336&gt;0,N336*100/M336,0)</f>
        <v>26.382546930492136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IFERROR(__xludf.DUMMYFUNCTION("IMPORTRANGE(""https://docs.google.com/spreadsheets/d/1-uDff_7J0KD5mKrp0Vvzr7lt3OU09vwQwhkpOPPYv2Y/edit?usp=sharing"",""งบพรบ!ES50"")"),122000)</f>
        <v>122000</v>
      </c>
      <c r="M338" s="425">
        <f ca="1">IFERROR(__xludf.DUMMYFUNCTION("IMPORTRANGE(""https://docs.google.com/spreadsheets/d/1-uDff_7J0KD5mKrp0Vvzr7lt3OU09vwQwhkpOPPYv2Y/edit?usp=sharing"",""งบพรบ!EX50"")"),98550)</f>
        <v>98550</v>
      </c>
      <c r="N338" s="425">
        <f ca="1">IFERROR(__xludf.DUMMYFUNCTION("IMPORTRANGE(""https://docs.google.com/spreadsheets/d/1-uDff_7J0KD5mKrp0Vvzr7lt3OU09vwQwhkpOPPYv2Y/edit?usp=sharing"",""งบพรบ!EZ50"")"),26000)</f>
        <v>26000</v>
      </c>
      <c r="O338" s="425">
        <f ca="1">IF(L338&gt;0,N338*100/L338,0)</f>
        <v>21.311475409836067</v>
      </c>
      <c r="P338" s="425">
        <f ca="1">IF(M338&gt;0,N338*100/M338,0)</f>
        <v>26.382546930492136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IFERROR(__xludf.DUMMYFUNCTION("IMPORTRANGE(""https://docs.google.com/spreadsheets/d/1-uDff_7J0KD5mKrp0Vvzr7lt3OU09vwQwhkpOPPYv2Y/edit?usp=sharing"",""งบพรบ!EV50"")"),0)</f>
        <v>0</v>
      </c>
      <c r="M341" s="425">
        <f ca="1">IFERROR(__xludf.DUMMYFUNCTION("IMPORTRANGE(""https://docs.google.com/spreadsheets/d/1-uDff_7J0KD5mKrp0Vvzr7lt3OU09vwQwhkpOPPYv2Y/edit?usp=sharing"",""งบพรบ!EY50"")"),0)</f>
        <v>0</v>
      </c>
      <c r="N341" s="425">
        <f ca="1">IFERROR(__xludf.DUMMYFUNCTION("IMPORTRANGE(""https://docs.google.com/spreadsheets/d/1-uDff_7J0KD5mKrp0Vvzr7lt3OU09vwQwhkpOPPYv2Y/edit?usp=sharing"",""งบพรบ!FA50"")"),0)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8963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IFERROR(__xludf.DUMMYFUNCTION("IMPORTRANGE(""https://docs.google.com/spreadsheets/d/1eHaY18a8A9IcSdp1K8H6x8fbOy06t2VsZHhMHf-1x7Y/edit?usp=sharing"",""แผน!EK50"")"),5860)</f>
        <v>5860</v>
      </c>
      <c r="J344" s="424">
        <f ca="1">IFERROR(__xludf.DUMMYFUNCTION("IMPORTRANGE(""https://docs.google.com/spreadsheets/d/1awYsYK3VOup2i3Pq_Yjnu8DRu_mYwSBnCR2QPthd0rU/edit?usp=sharing"",""ศูนย์ยกเว้นโฉนด!D50"")"),8781)</f>
        <v>8781</v>
      </c>
      <c r="K344" s="425">
        <f ca="1">IF(I344&gt;0,J344*100/I344,0)</f>
        <v>149.84641638225256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IFERROR(__xludf.DUMMYFUNCTION("IMPORTRANGE(""https://docs.google.com/spreadsheets/d/1eHaY18a8A9IcSdp1K8H6x8fbOy06t2VsZHhMHf-1x7Y/edit?usp=sharing"",""แผน!EL50"")"),8)</f>
        <v>8</v>
      </c>
      <c r="J346" s="424">
        <f ca="1">IFERROR(__xludf.DUMMYFUNCTION("IMPORTRANGE(""https://docs.google.com/spreadsheets/d/1awYsYK3VOup2i3Pq_Yjnu8DRu_mYwSBnCR2QPthd0rU/edit?usp=sharing"",""ศูนย์รวม!E50"")"),1)</f>
        <v>1</v>
      </c>
      <c r="K346" s="425">
        <f ca="1">IF(I346&gt;0,J346*100/I346,0)</f>
        <v>12.5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IFERROR(__xludf.DUMMYFUNCTION("IMPORTRANGE(""https://docs.google.com/spreadsheets/d/1awYsYK3VOup2i3Pq_Yjnu8DRu_mYwSBnCR2QPthd0rU/edit?usp=sharing"",""ศูนย์ยกเว้นโฉนด!F50"")"),6)</f>
        <v>6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IFERROR(__xludf.DUMMYFUNCTION("IMPORTRANGE(""https://docs.google.com/spreadsheets/d/1awYsYK3VOup2i3Pq_Yjnu8DRu_mYwSBnCR2QPthd0rU/edit?usp=sharing"",""ศูนย์ยกเว้นโฉนด!G50"")"),2)</f>
        <v>2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IFERROR(__xludf.DUMMYFUNCTION("IMPORTRANGE(""https://docs.google.com/spreadsheets/d/1awYsYK3VOup2i3Pq_Yjnu8DRu_mYwSBnCR2QPthd0rU/edit?usp=sharing"",""ศูนย์ยกเว้นโฉนด!H50"")"),174)</f>
        <v>174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2935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IFERROR(__xludf.DUMMYFUNCTION("IMPORTRANGE(""https://docs.google.com/spreadsheets/d/1awYsYK3VOup2i3Pq_Yjnu8DRu_mYwSBnCR2QPthd0rU/edit?usp=sharing"",""โฉนดM3!G50"")"),186)</f>
        <v>186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IFERROR(__xludf.DUMMYFUNCTION("IMPORTRANGE(""https://docs.google.com/spreadsheets/d/1awYsYK3VOup2i3Pq_Yjnu8DRu_mYwSBnCR2QPthd0rU/edit?usp=sharing"",""โฉนดM3!H50"")"),2749)</f>
        <v>2749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1348240</v>
      </c>
      <c r="M356" s="577">
        <f ca="1">M357+M358</f>
        <v>1244260</v>
      </c>
      <c r="N356" s="577">
        <f ca="1">N357+N358</f>
        <v>463359.31</v>
      </c>
      <c r="O356" s="577">
        <f ca="1">IF(L356&gt;0,N356*100/L356,0)</f>
        <v>34.367717172016853</v>
      </c>
      <c r="P356" s="577">
        <f ca="1">IF(M356&gt;0,N356*100/M356,0)</f>
        <v>37.23974973076367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1348240</v>
      </c>
      <c r="M358" s="425">
        <f ca="1">M361+M364</f>
        <v>1244260</v>
      </c>
      <c r="N358" s="425">
        <f ca="1">N361+N364</f>
        <v>463359.31</v>
      </c>
      <c r="O358" s="425">
        <f ca="1">IF(L358&gt;0,N358*100/L358,0)</f>
        <v>34.367717172016853</v>
      </c>
      <c r="P358" s="425">
        <f ca="1">IF(M358&gt;0,N358*100/M358,0)</f>
        <v>37.23974973076367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1348240</v>
      </c>
      <c r="M359" s="425">
        <f ca="1">M360+M361</f>
        <v>1244260</v>
      </c>
      <c r="N359" s="425">
        <f ca="1">N360+N361</f>
        <v>463359.31</v>
      </c>
      <c r="O359" s="425">
        <f ca="1">IF(L359&gt;0,N359*100/L359,0)</f>
        <v>34.367717172016853</v>
      </c>
      <c r="P359" s="425">
        <f ca="1">IF(M359&gt;0,N359*100/M359,0)</f>
        <v>37.23974973076367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IFERROR(__xludf.DUMMYFUNCTION("IMPORTRANGE(""https://docs.google.com/spreadsheets/d/1-uDff_7J0KD5mKrp0Vvzr7lt3OU09vwQwhkpOPPYv2Y/edit?usp=sharing"",""งบพรบ!FC50"")"),1348240)</f>
        <v>1348240</v>
      </c>
      <c r="M361" s="425">
        <f ca="1">IFERROR(__xludf.DUMMYFUNCTION("IMPORTRANGE(""https://docs.google.com/spreadsheets/d/1-uDff_7J0KD5mKrp0Vvzr7lt3OU09vwQwhkpOPPYv2Y/edit?usp=sharing"",""งบพรบ!FH50"")"),1244260)</f>
        <v>1244260</v>
      </c>
      <c r="N361" s="425">
        <f ca="1">IFERROR(__xludf.DUMMYFUNCTION("IMPORTRANGE(""https://docs.google.com/spreadsheets/d/1-uDff_7J0KD5mKrp0Vvzr7lt3OU09vwQwhkpOPPYv2Y/edit?usp=sharing"",""งบพรบ!FJ50"")"),463359.31)</f>
        <v>463359.31</v>
      </c>
      <c r="O361" s="425">
        <f ca="1">IF(L361&gt;0,N361*100/L361,0)</f>
        <v>34.367717172016853</v>
      </c>
      <c r="P361" s="425">
        <f ca="1">IF(M361&gt;0,N361*100/M361,0)</f>
        <v>37.23974973076367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IFERROR(__xludf.DUMMYFUNCTION("IMPORTRANGE(""https://docs.google.com/spreadsheets/d/1-uDff_7J0KD5mKrp0Vvzr7lt3OU09vwQwhkpOPPYv2Y/edit?usp=sharing"",""งบพรบ!FF50"")"),0)</f>
        <v>0</v>
      </c>
      <c r="M364" s="425">
        <f ca="1">IFERROR(__xludf.DUMMYFUNCTION("IMPORTRANGE(""https://docs.google.com/spreadsheets/d/1-uDff_7J0KD5mKrp0Vvzr7lt3OU09vwQwhkpOPPYv2Y/edit?usp=sharing"",""งบพรบ!FI50"")"),0)</f>
        <v>0</v>
      </c>
      <c r="N364" s="425">
        <f ca="1">IFERROR(__xludf.DUMMYFUNCTION("IMPORTRANGE(""https://docs.google.com/spreadsheets/d/1-uDff_7J0KD5mKrp0Vvzr7lt3OU09vwQwhkpOPPYv2Y/edit?usp=sharing"",""งบพรบ!FK50"")"),0)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974</v>
      </c>
      <c r="J365" s="438">
        <f ca="1">J371</f>
        <v>53</v>
      </c>
      <c r="K365" s="439">
        <f ca="1">IF(I365&gt;0,J365*100/I365,0)</f>
        <v>5.4414784394250511</v>
      </c>
      <c r="L365" s="571"/>
      <c r="M365" s="571"/>
      <c r="N365" s="571"/>
      <c r="O365" s="571"/>
      <c r="P365" s="571"/>
    </row>
    <row r="366" spans="1:16" ht="19.5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IFERROR(__xludf.DUMMYFUNCTION("IMPORTRANGE(""https://docs.google.com/spreadsheets/d/1tdoBKaGub7dwA3U6UFTqxio9LNnvDCQjHKmttSEBsFQ/edit?usp=sharing"",""จัดที่ดิน!AB50"")"),166)</f>
        <v>166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IFERROR(__xludf.DUMMYFUNCTION("IMPORTRANGE(""https://docs.google.com/spreadsheets/d/1eHaY18a8A9IcSdp1K8H6x8fbOy06t2VsZHhMHf-1x7Y/edit?usp=sharing"",""แผน!EW50"")"),9500)</f>
        <v>9500</v>
      </c>
      <c r="J368" s="565">
        <f ca="1">IFERROR(__xludf.DUMMYFUNCTION("IMPORTRANGE(""https://docs.google.com/spreadsheets/d/1tdoBKaGub7dwA3U6UFTqxio9LNnvDCQjHKmttSEBsFQ/edit?usp=sharing"",""จัดที่ดิน!AC50"")"),2007.27999999999)</f>
        <v>2007.27999999999</v>
      </c>
      <c r="K368" s="425">
        <f ca="1">IF(I368&gt;0,J368*100/I368,0)</f>
        <v>21.129263157894634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IFERROR(__xludf.DUMMYFUNCTION("IMPORTRANGE(""https://docs.google.com/spreadsheets/d/1eHaY18a8A9IcSdp1K8H6x8fbOy06t2VsZHhMHf-1x7Y/edit?usp=sharing"",""แผน!EX50"")"),1470)</f>
        <v>1470</v>
      </c>
      <c r="J369" s="424">
        <f ca="1">IFERROR(__xludf.DUMMYFUNCTION("IMPORTRANGE(""https://docs.google.com/spreadsheets/d/1tdoBKaGub7dwA3U6UFTqxio9LNnvDCQjHKmttSEBsFQ/edit?usp=sharing"",""จัดที่ดิน!AD50"")"),221)</f>
        <v>221</v>
      </c>
      <c r="K369" s="425">
        <f ca="1">IF(I369&gt;0,J369*100/I369,0)</f>
        <v>15.034013605442176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IFERROR(__xludf.DUMMYFUNCTION("IMPORTRANGE(""https://docs.google.com/spreadsheets/d/1tdoBKaGub7dwA3U6UFTqxio9LNnvDCQjHKmttSEBsFQ/edit?usp=sharing"",""จัดที่ดิน!AE50"")"),4408.49)</f>
        <v>4408.49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IFERROR(__xludf.DUMMYFUNCTION("IMPORTRANGE(""https://docs.google.com/spreadsheets/d/1eHaY18a8A9IcSdp1K8H6x8fbOy06t2VsZHhMHf-1x7Y/edit?usp=sharing"",""แผน!EY50"")"),974)</f>
        <v>974</v>
      </c>
      <c r="J371" s="424">
        <f ca="1">IFERROR(__xludf.DUMMYFUNCTION("IMPORTRANGE(""https://docs.google.com/spreadsheets/d/1tdoBKaGub7dwA3U6UFTqxio9LNnvDCQjHKmttSEBsFQ/edit?usp=sharing"",""จัดที่ดิน!AF50"")"),53)</f>
        <v>53</v>
      </c>
      <c r="K371" s="425">
        <f ca="1">IF(I371&gt;0,J371*100/I371,0)</f>
        <v>5.4414784394250511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IFERROR(__xludf.DUMMYFUNCTION("IMPORTRANGE(""https://docs.google.com/spreadsheets/d/1tdoBKaGub7dwA3U6UFTqxio9LNnvDCQjHKmttSEBsFQ/edit?usp=sharing"",""จัดที่ดิน!AG50"")"),868.27)</f>
        <v>868.27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IFERROR(__xludf.DUMMYFUNCTION("IMPORTRANGE(""https://docs.google.com/spreadsheets/d/1-uDff_7J0KD5mKrp0Vvzr7lt3OU09vwQwhkpOPPYv2Y/edit?usp=sharing"",""งบพรบ!FM50"")"),0)</f>
        <v>0</v>
      </c>
      <c r="M382" s="521">
        <f ca="1">IFERROR(__xludf.DUMMYFUNCTION("IMPORTRANGE(""https://docs.google.com/spreadsheets/d/1-uDff_7J0KD5mKrp0Vvzr7lt3OU09vwQwhkpOPPYv2Y/edit?usp=sharing"",""งบพรบ!FR50"")"),0)</f>
        <v>0</v>
      </c>
      <c r="N382" s="521">
        <f ca="1">IFERROR(__xludf.DUMMYFUNCTION("IMPORTRANGE(""https://docs.google.com/spreadsheets/d/1-uDff_7J0KD5mKrp0Vvzr7lt3OU09vwQwhkpOPPYv2Y/edit?usp=sharing"",""งบพรบ!FT50"")"),0)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IFERROR(__xludf.DUMMYFUNCTION("IMPORTRANGE(""https://docs.google.com/spreadsheets/d/1-uDff_7J0KD5mKrp0Vvzr7lt3OU09vwQwhkpOPPYv2Y/edit?usp=sharing"",""งบพรบ!FP50"")"),0)</f>
        <v>0</v>
      </c>
      <c r="M385" s="521">
        <f ca="1">IFERROR(__xludf.DUMMYFUNCTION("IMPORTRANGE(""https://docs.google.com/spreadsheets/d/1-uDff_7J0KD5mKrp0Vvzr7lt3OU09vwQwhkpOPPYv2Y/edit?usp=sharing"",""งบพรบ!FS50"")"),0)</f>
        <v>0</v>
      </c>
      <c r="N385" s="521">
        <f ca="1">IFERROR(__xludf.DUMMYFUNCTION("IMPORTRANGE(""https://docs.google.com/spreadsheets/d/1-uDff_7J0KD5mKrp0Vvzr7lt3OU09vwQwhkpOPPYv2Y/edit?usp=sharing"",""งบพรบ!FU50"")"),0)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7884F-DE60-4484-9FCB-92806E635808}">
  <sheetPr>
    <outlinePr summaryBelow="0" summaryRight="0"/>
    <pageSetUpPr fitToPage="1"/>
  </sheetPr>
  <dimension ref="A1:P391"/>
  <sheetViews>
    <sheetView tabSelected="1" view="pageBreakPreview" zoomScale="60" zoomScaleNormal="70" workbookViewId="0">
      <pane xSplit="8" ySplit="17" topLeftCell="I41" activePane="bottomRight" state="frozen"/>
      <selection activeCell="H27" sqref="H27"/>
      <selection pane="topRight" activeCell="H27" sqref="H27"/>
      <selection pane="bottomLeft" activeCell="H27" sqref="H27"/>
      <selection pane="bottomRight" activeCell="H27" sqref="H27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5.140625" customWidth="1"/>
    <col min="11" max="11" width="12.57031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869" t="s">
        <v>0</v>
      </c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  <c r="O1" s="869"/>
      <c r="P1" s="869"/>
    </row>
    <row r="2" spans="1:16" ht="19.5" x14ac:dyDescent="0.3">
      <c r="A2" s="869" t="s">
        <v>181</v>
      </c>
      <c r="B2" s="869"/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  <c r="P2" s="869"/>
    </row>
    <row r="3" spans="1:16" ht="19.5" x14ac:dyDescent="0.3">
      <c r="A3" s="869" t="str">
        <f ca="1">IFERROR(__xludf.DUMMYFUNCTION("IMPORTRANGE(""https://docs.google.com/spreadsheets/d/1gNPQPjxUj63ZZXIIIm2aX4x3w7PhAZpC9JuXdbpWwUQ/edit?usp=sharing"",""Sheet1!b1"")"),"ข้อมูล ณ 28 ธ.ค. 66")</f>
        <v>ข้อมูล ณ 28 ธ.ค. 66</v>
      </c>
      <c r="B3" s="869"/>
      <c r="C3" s="869"/>
      <c r="D3" s="869"/>
      <c r="E3" s="869"/>
      <c r="F3" s="869"/>
      <c r="G3" s="869"/>
      <c r="H3" s="869"/>
      <c r="I3" s="869"/>
      <c r="J3" s="869"/>
      <c r="K3" s="869"/>
      <c r="L3" s="869"/>
      <c r="M3" s="869"/>
      <c r="N3" s="869"/>
      <c r="O3" s="869"/>
      <c r="P3" s="869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5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493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2736454</v>
      </c>
      <c r="M18" s="704">
        <f ca="1">M19+M20</f>
        <v>2347972</v>
      </c>
      <c r="N18" s="704">
        <f ca="1">N19+N20</f>
        <v>1038804.45</v>
      </c>
      <c r="O18" s="704">
        <f ca="1">IF(L18&gt;0,N18*100/L18,0)</f>
        <v>37.961699703338702</v>
      </c>
      <c r="P18" s="704">
        <f ca="1">IF(M18&gt;0,N18*100/M18,0)</f>
        <v>44.242625125001489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2736454</v>
      </c>
      <c r="M20" s="817">
        <f ca="1">M23+M26</f>
        <v>2347972</v>
      </c>
      <c r="N20" s="817">
        <f ca="1">N23+N26</f>
        <v>1038804.45</v>
      </c>
      <c r="O20" s="817">
        <f ca="1">IF(L20&gt;0,N20*100/L20,0)</f>
        <v>37.961699703338702</v>
      </c>
      <c r="P20" s="817">
        <f ca="1">IF(M20&gt;0,N20*100/M20,0)</f>
        <v>44.242625125001489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2736454</v>
      </c>
      <c r="M21" s="425">
        <f ca="1">M22+M23</f>
        <v>2347972</v>
      </c>
      <c r="N21" s="425">
        <f ca="1">N22+N23</f>
        <v>1038804.45</v>
      </c>
      <c r="O21" s="425">
        <f ca="1">IF(L21&gt;0,N21*100/L21,0)</f>
        <v>37.961699703338702</v>
      </c>
      <c r="P21" s="425">
        <f ca="1">IF(M21&gt;0,N21*100/M21,0)</f>
        <v>44.242625125001489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2736454</v>
      </c>
      <c r="M23" s="425">
        <f ca="1">M49+M64+M77+M99+M130+M144+M162+M191+M178+M271+M287+M308+M325+M338+M361+M382</f>
        <v>2347972</v>
      </c>
      <c r="N23" s="425">
        <f ca="1">N49+N64+N77+N99+N130+N144+N162+N191+N178+N271+N287+N308+N325+N338+N361+N382</f>
        <v>1038804.45</v>
      </c>
      <c r="O23" s="425">
        <f ca="1">IF(L23&gt;0,N23*100/L23,0)</f>
        <v>37.961699703338702</v>
      </c>
      <c r="P23" s="425">
        <f ca="1">IF(M23&gt;0,N23*100/M23,0)</f>
        <v>44.242625125001489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2.75" hidden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2736454</v>
      </c>
      <c r="M40" s="809">
        <f ca="1">M44+M59+M72+M94+M125+M139+M157+M173+M186+M266+M282+M303+M320+M333+M356</f>
        <v>2347972</v>
      </c>
      <c r="N40" s="809">
        <f ca="1">N44+N59+N72+N94+N125+N139+N157+N173+N186+N266+N282+N303+N320+N333+N356</f>
        <v>1038804.45</v>
      </c>
      <c r="O40" s="809">
        <f ca="1">IF(L40&gt;0,N40*100/L40,0)</f>
        <v>37.961699703338702</v>
      </c>
      <c r="P40" s="809">
        <f ca="1">IF(M40&gt;0,N40*100/M40,0)</f>
        <v>44.242625125001489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324404</v>
      </c>
      <c r="M44" s="794">
        <f ca="1">M45+M46</f>
        <v>333482</v>
      </c>
      <c r="N44" s="794">
        <f ca="1">N45+N46</f>
        <v>159791</v>
      </c>
      <c r="O44" s="794">
        <f ca="1">IF(L44&gt;0,N44*100/L44,0)</f>
        <v>49.256790915031871</v>
      </c>
      <c r="P44" s="794">
        <f ca="1">IF(M44&gt;0,N44*100/M44,0)</f>
        <v>47.915929495445035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324404</v>
      </c>
      <c r="M46" s="783">
        <f ca="1">M49+M52</f>
        <v>333482</v>
      </c>
      <c r="N46" s="783">
        <f ca="1">N49+N52</f>
        <v>159791</v>
      </c>
      <c r="O46" s="783">
        <f ca="1">IF(L46&gt;0,N46*100/L46,0)</f>
        <v>49.256790915031871</v>
      </c>
      <c r="P46" s="783">
        <f ca="1">IF(M46&gt;0,N46*100/M46,0)</f>
        <v>47.915929495445035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324404</v>
      </c>
      <c r="M47" s="425">
        <f ca="1">M48+M49</f>
        <v>333482</v>
      </c>
      <c r="N47" s="425">
        <f ca="1">N48+N49</f>
        <v>159791</v>
      </c>
      <c r="O47" s="425">
        <f ca="1">IF(L47&gt;0,N47*100/L47,0)</f>
        <v>49.256790915031871</v>
      </c>
      <c r="P47" s="425">
        <f ca="1">IF(M47&gt;0,N47*100/M47,0)</f>
        <v>47.915929495445035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IFERROR(__xludf.DUMMYFUNCTION("IMPORTRANGE(""https://docs.google.com/spreadsheets/d/1-uDff_7J0KD5mKrp0Vvzr7lt3OU09vwQwhkpOPPYv2Y/edit?usp=sharing"",""งบพรบ!P51"")"),324404)</f>
        <v>324404</v>
      </c>
      <c r="M49" s="425">
        <f ca="1">IFERROR(__xludf.DUMMYFUNCTION("IMPORTRANGE(""https://docs.google.com/spreadsheets/d/1-uDff_7J0KD5mKrp0Vvzr7lt3OU09vwQwhkpOPPYv2Y/edit?usp=sharing"",""งบพรบ!V51"")"),333482)</f>
        <v>333482</v>
      </c>
      <c r="N49" s="425">
        <f ca="1">IFERROR(__xludf.DUMMYFUNCTION("IMPORTRANGE(""https://docs.google.com/spreadsheets/d/1-uDff_7J0KD5mKrp0Vvzr7lt3OU09vwQwhkpOPPYv2Y/edit?usp=sharing"",""งบพรบ!Y51"")"),159791)</f>
        <v>159791</v>
      </c>
      <c r="O49" s="425">
        <f ca="1">IF(L49&gt;0,N49*100/L49,0)</f>
        <v>49.256790915031871</v>
      </c>
      <c r="P49" s="425">
        <f ca="1">IF(M49&gt;0,N49*100/M49,0)</f>
        <v>47.915929495445035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IFERROR(__xludf.DUMMYFUNCTION("IMPORTRANGE(""https://docs.google.com/spreadsheets/d/1-uDff_7J0KD5mKrp0Vvzr7lt3OU09vwQwhkpOPPYv2Y/edit?usp=sharing"",""งบพรบ!S51"")"),0)</f>
        <v>0</v>
      </c>
      <c r="M52" s="425">
        <f ca="1">IFERROR(__xludf.DUMMYFUNCTION("IMPORTRANGE(""https://docs.google.com/spreadsheets/d/1-uDff_7J0KD5mKrp0Vvzr7lt3OU09vwQwhkpOPPYv2Y/edit?usp=sharing"",""งบพรบ!W51"")"),0)</f>
        <v>0</v>
      </c>
      <c r="N52" s="425">
        <f ca="1">IFERROR(__xludf.DUMMYFUNCTION("IMPORTRANGE(""https://docs.google.com/spreadsheets/d/1-uDff_7J0KD5mKrp0Vvzr7lt3OU09vwQwhkpOPPYv2Y/edit?usp=sharing"",""งบพรบ!Z51"")"),0)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645300</v>
      </c>
      <c r="M59" s="763">
        <f ca="1">M60+M61</f>
        <v>545790</v>
      </c>
      <c r="N59" s="763">
        <f ca="1">N60+N61</f>
        <v>383228</v>
      </c>
      <c r="O59" s="763">
        <f ca="1">IF(L59&gt;0,N59*100/L59,0)</f>
        <v>59.387571672090502</v>
      </c>
      <c r="P59" s="763">
        <f ca="1">IF(M59&gt;0,N59*100/M59,0)</f>
        <v>70.215284266842559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645300</v>
      </c>
      <c r="M61" s="752">
        <f ca="1">M64+M67</f>
        <v>545790</v>
      </c>
      <c r="N61" s="752">
        <f ca="1">N64+N67</f>
        <v>383228</v>
      </c>
      <c r="O61" s="752">
        <f ca="1">IF(L61&gt;0,N61*100/L61,0)</f>
        <v>59.387571672090502</v>
      </c>
      <c r="P61" s="752">
        <f ca="1">IF(M61&gt;0,N61*100/M61,0)</f>
        <v>70.215284266842559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645300</v>
      </c>
      <c r="M62" s="425">
        <f ca="1">M63+M64</f>
        <v>545790</v>
      </c>
      <c r="N62" s="425">
        <f ca="1">N63+N64</f>
        <v>383228</v>
      </c>
      <c r="O62" s="425">
        <f ca="1">IF(L62&gt;0,N62*100/L62,0)</f>
        <v>59.387571672090502</v>
      </c>
      <c r="P62" s="425">
        <f ca="1">IF(M62&gt;0,N62*100/M62,0)</f>
        <v>70.215284266842559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IFERROR(__xludf.DUMMYFUNCTION("IMPORTRANGE(""https://docs.google.com/spreadsheets/d/1-uDff_7J0KD5mKrp0Vvzr7lt3OU09vwQwhkpOPPYv2Y/edit?usp=sharing"",""งบพรบ!AC51"")"),645300)</f>
        <v>645300</v>
      </c>
      <c r="M64" s="425">
        <f ca="1">IFERROR(__xludf.DUMMYFUNCTION("IMPORTRANGE(""https://docs.google.com/spreadsheets/d/1-uDff_7J0KD5mKrp0Vvzr7lt3OU09vwQwhkpOPPYv2Y/edit?usp=sharing"",""งบพรบ!AH51"")"),545790)</f>
        <v>545790</v>
      </c>
      <c r="N64" s="425">
        <f ca="1">IFERROR(__xludf.DUMMYFUNCTION("IMPORTRANGE(""https://docs.google.com/spreadsheets/d/1-uDff_7J0KD5mKrp0Vvzr7lt3OU09vwQwhkpOPPYv2Y/edit?usp=sharing"",""งบพรบ!AJ51"")"),383228)</f>
        <v>383228</v>
      </c>
      <c r="O64" s="425">
        <f ca="1">IF(L64&gt;0,N64*100/L64,0)</f>
        <v>59.387571672090502</v>
      </c>
      <c r="P64" s="425">
        <f ca="1">IF(M64&gt;0,N64*100/M64,0)</f>
        <v>70.215284266842559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IFERROR(__xludf.DUMMYFUNCTION("IMPORTRANGE(""https://docs.google.com/spreadsheets/d/1-uDff_7J0KD5mKrp0Vvzr7lt3OU09vwQwhkpOPPYv2Y/edit?usp=sharing"",""งบพรบ!AF51"")"),0)</f>
        <v>0</v>
      </c>
      <c r="M67" s="747">
        <f ca="1">IFERROR(__xludf.DUMMYFUNCTION("IMPORTRANGE(""https://docs.google.com/spreadsheets/d/1-uDff_7J0KD5mKrp0Vvzr7lt3OU09vwQwhkpOPPYv2Y/edit?usp=sharing"",""งบพรบ!AI51"")"),0)</f>
        <v>0</v>
      </c>
      <c r="N67" s="747">
        <f ca="1">IFERROR(__xludf.DUMMYFUNCTION("IMPORTRANGE(""https://docs.google.com/spreadsheets/d/1-uDff_7J0KD5mKrp0Vvzr7lt3OU09vwQwhkpOPPYv2Y/edit?usp=sharing"",""งบพรบ!AK51"")"),0)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19.5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hidden="1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hidden="1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0</v>
      </c>
      <c r="J70" s="705">
        <f>J82</f>
        <v>0</v>
      </c>
      <c r="K70" s="704">
        <f ca="1">IF(I70&gt;0,J70*100/I70,0)</f>
        <v>0</v>
      </c>
      <c r="L70" s="703"/>
      <c r="M70" s="703"/>
      <c r="N70" s="703"/>
      <c r="O70" s="703"/>
      <c r="P70" s="703"/>
    </row>
    <row r="71" spans="1:16" ht="19.5" hidden="1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0</v>
      </c>
      <c r="J71" s="705">
        <f>J83</f>
        <v>0</v>
      </c>
      <c r="K71" s="704">
        <f ca="1">IF(I71&gt;0,J71*100/I71,0)</f>
        <v>0</v>
      </c>
      <c r="L71" s="703"/>
      <c r="M71" s="703"/>
      <c r="N71" s="703"/>
      <c r="O71" s="703"/>
      <c r="P71" s="703"/>
    </row>
    <row r="72" spans="1:16" ht="19.5" hidden="1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0</v>
      </c>
      <c r="M72" s="577">
        <f ca="1">M73+M74</f>
        <v>0</v>
      </c>
      <c r="N72" s="577">
        <f ca="1">N73+N74</f>
        <v>0</v>
      </c>
      <c r="O72" s="577">
        <f ca="1">IF(L72&gt;0,N72*100/L72,0)</f>
        <v>0</v>
      </c>
      <c r="P72" s="577">
        <f ca="1">IF(M72&gt;0,N72*100/M72,0)</f>
        <v>0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hidden="1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hidden="1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IFERROR(__xludf.DUMMYFUNCTION("IMPORTRANGE(""https://docs.google.com/spreadsheets/d/1-uDff_7J0KD5mKrp0Vvzr7lt3OU09vwQwhkpOPPYv2Y/edit?usp=sharing"",""งบพรบ!AM51"")"),0)</f>
        <v>0</v>
      </c>
      <c r="M77" s="425">
        <f ca="1">IFERROR(__xludf.DUMMYFUNCTION("IMPORTRANGE(""https://docs.google.com/spreadsheets/d/1-uDff_7J0KD5mKrp0Vvzr7lt3OU09vwQwhkpOPPYv2Y/edit?usp=sharing"",""งบพรบ!AR51"")"),0)</f>
        <v>0</v>
      </c>
      <c r="N77" s="425">
        <f ca="1">IFERROR(__xludf.DUMMYFUNCTION("IMPORTRANGE(""https://docs.google.com/spreadsheets/d/1-uDff_7J0KD5mKrp0Vvzr7lt3OU09vwQwhkpOPPYv2Y/edit?usp=sharing"",""งบพรบ!AT51"")"),0)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hidden="1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IFERROR(__xludf.DUMMYFUNCTION("IMPORTRANGE(""https://docs.google.com/spreadsheets/d/1-uDff_7J0KD5mKrp0Vvzr7lt3OU09vwQwhkpOPPYv2Y/edit?usp=sharing"",""งบพรบ!AP51"")"),0)</f>
        <v>0</v>
      </c>
      <c r="M80" s="425">
        <f ca="1">IFERROR(__xludf.DUMMYFUNCTION("IMPORTRANGE(""https://docs.google.com/spreadsheets/d/1-uDff_7J0KD5mKrp0Vvzr7lt3OU09vwQwhkpOPPYv2Y/edit?usp=sharing"",""งบพรบ!AS51"")"),0)</f>
        <v>0</v>
      </c>
      <c r="N80" s="425">
        <f ca="1">IFERROR(__xludf.DUMMYFUNCTION("IMPORTRANGE(""https://docs.google.com/spreadsheets/d/1-uDff_7J0KD5mKrp0Vvzr7lt3OU09vwQwhkpOPPYv2Y/edit?usp=sharing"",""งบพรบ!AU51"")"),0)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hidden="1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0</v>
      </c>
      <c r="J82" s="625">
        <f>J84+J86+J88</f>
        <v>0</v>
      </c>
      <c r="K82" s="624">
        <f ca="1">IF(I82&gt;0,J82*100/I82,0)</f>
        <v>0</v>
      </c>
      <c r="L82" s="525"/>
      <c r="M82" s="525"/>
      <c r="N82" s="525"/>
      <c r="O82" s="525"/>
      <c r="P82" s="525"/>
    </row>
    <row r="83" spans="1:16" ht="19.5" hidden="1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0</v>
      </c>
      <c r="J83" s="625">
        <f>J85+J87+J89</f>
        <v>0</v>
      </c>
      <c r="K83" s="624">
        <f ca="1">IF(I83&gt;0,J83*100/I83,0)</f>
        <v>0</v>
      </c>
      <c r="L83" s="525"/>
      <c r="M83" s="525"/>
      <c r="N83" s="525"/>
      <c r="O83" s="525"/>
      <c r="P83" s="525"/>
    </row>
    <row r="84" spans="1:16" ht="18.75" hidden="1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IFERROR(__xludf.DUMMYFUNCTION("IMPORTRANGE(""https://docs.google.com/spreadsheets/d/1eHaY18a8A9IcSdp1K8H6x8fbOy06t2VsZHhMHf-1x7Y/edit?usp=sharing"",""แผน!H51"")"),0)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hidden="1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IFERROR(__xludf.DUMMYFUNCTION("IMPORTRANGE(""https://docs.google.com/spreadsheets/d/1eHaY18a8A9IcSdp1K8H6x8fbOy06t2VsZHhMHf-1x7Y/edit?usp=sharing"",""แผน!I51"")"),0)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hidden="1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IFERROR(__xludf.DUMMYFUNCTION("IMPORTRANGE(""https://docs.google.com/spreadsheets/d/1eHaY18a8A9IcSdp1K8H6x8fbOy06t2VsZHhMHf-1x7Y/edit?usp=sharing"",""แผน!F51"")"),0)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hidden="1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IFERROR(__xludf.DUMMYFUNCTION("IMPORTRANGE(""https://docs.google.com/spreadsheets/d/1eHaY18a8A9IcSdp1K8H6x8fbOy06t2VsZHhMHf-1x7Y/edit?usp=sharing"",""แผน!G51"")"),0)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hidden="1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IFERROR(__xludf.DUMMYFUNCTION("IMPORTRANGE(""https://docs.google.com/spreadsheets/d/1eHaY18a8A9IcSdp1K8H6x8fbOy06t2VsZHhMHf-1x7Y/edit?usp=sharing"",""แผน!D51"")"),0)</f>
        <v>0</v>
      </c>
      <c r="J88" s="595">
        <v>0</v>
      </c>
      <c r="K88" s="621">
        <f ca="1">IF(I88&gt;0,J88*100/I88,0)</f>
        <v>0</v>
      </c>
      <c r="L88" s="525"/>
      <c r="M88" s="525"/>
      <c r="N88" s="525"/>
      <c r="O88" s="525"/>
      <c r="P88" s="525"/>
    </row>
    <row r="89" spans="1:16" ht="18.75" hidden="1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IFERROR(__xludf.DUMMYFUNCTION("IMPORTRANGE(""https://docs.google.com/spreadsheets/d/1eHaY18a8A9IcSdp1K8H6x8fbOy06t2VsZHhMHf-1x7Y/edit?usp=sharing"",""แผน!E51"")"),0)</f>
        <v>0</v>
      </c>
      <c r="J89" s="595">
        <v>0</v>
      </c>
      <c r="K89" s="621">
        <f ca="1">IF(I89&gt;0,J89*100/I89,0)</f>
        <v>0</v>
      </c>
      <c r="L89" s="525"/>
      <c r="M89" s="525"/>
      <c r="N89" s="525"/>
      <c r="O89" s="525"/>
      <c r="P89" s="525"/>
    </row>
    <row r="90" spans="1:16" ht="18.75" hidden="1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IFERROR(__xludf.DUMMYFUNCTION("IMPORTRANGE(""https://docs.google.com/spreadsheets/d/1eHaY18a8A9IcSdp1K8H6x8fbOy06t2VsZHhMHf-1x7Y/edit?usp=sharing"",""แผน!J51"")"),0)</f>
        <v>0</v>
      </c>
      <c r="J90" s="595">
        <v>0</v>
      </c>
      <c r="K90" s="621">
        <f ca="1">IF(I90&gt;0,J90*100/I90,0)</f>
        <v>0</v>
      </c>
      <c r="L90" s="525"/>
      <c r="M90" s="525"/>
      <c r="N90" s="525"/>
      <c r="O90" s="525"/>
      <c r="P90" s="525"/>
    </row>
    <row r="91" spans="1:16" ht="19.5" hidden="1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hidden="1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0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hidden="1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0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hidden="1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0</v>
      </c>
      <c r="M94" s="577">
        <f ca="1">M95+M96</f>
        <v>0</v>
      </c>
      <c r="N94" s="577">
        <f ca="1">N95+N96</f>
        <v>0</v>
      </c>
      <c r="O94" s="577">
        <f ca="1">IF(L94&gt;0,N94*100/L94,0)</f>
        <v>0</v>
      </c>
      <c r="P94" s="577">
        <f ca="1">IF(M94&gt;0,N94*100/M94,0)</f>
        <v>0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hidden="1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hidden="1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IFERROR(__xludf.DUMMYFUNCTION("IMPORTRANGE(""https://docs.google.com/spreadsheets/d/1-uDff_7J0KD5mKrp0Vvzr7lt3OU09vwQwhkpOPPYv2Y/edit?usp=sharing"",""งบพรบ!AW51"")"),0)</f>
        <v>0</v>
      </c>
      <c r="M99" s="425">
        <f ca="1">IFERROR(__xludf.DUMMYFUNCTION("IMPORTRANGE(""https://docs.google.com/spreadsheets/d/1-uDff_7J0KD5mKrp0Vvzr7lt3OU09vwQwhkpOPPYv2Y/edit?usp=sharing"",""งบพรบ!BB51"")"),0)</f>
        <v>0</v>
      </c>
      <c r="N99" s="425">
        <f ca="1">IFERROR(__xludf.DUMMYFUNCTION("IMPORTRANGE(""https://docs.google.com/spreadsheets/d/1-uDff_7J0KD5mKrp0Vvzr7lt3OU09vwQwhkpOPPYv2Y/edit?usp=sharing"",""งบพรบ!BD51"")"),0)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hidden="1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IFERROR(__xludf.DUMMYFUNCTION("IMPORTRANGE(""https://docs.google.com/spreadsheets/d/1-uDff_7J0KD5mKrp0Vvzr7lt3OU09vwQwhkpOPPYv2Y/edit?usp=sharing"",""งบพรบ!AZ51"")"),0)</f>
        <v>0</v>
      </c>
      <c r="M102" s="425">
        <f ca="1">IFERROR(__xludf.DUMMYFUNCTION("IMPORTRANGE(""https://docs.google.com/spreadsheets/d/1-uDff_7J0KD5mKrp0Vvzr7lt3OU09vwQwhkpOPPYv2Y/edit?usp=sharing"",""งบพรบ!BC51"")"),0)</f>
        <v>0</v>
      </c>
      <c r="N102" s="425">
        <f ca="1">IFERROR(__xludf.DUMMYFUNCTION("IMPORTRANGE(""https://docs.google.com/spreadsheets/d/1-uDff_7J0KD5mKrp0Vvzr7lt3OU09vwQwhkpOPPYv2Y/edit?usp=sharing"",""งบพรบ!BE51"")"),0)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hidden="1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hidden="1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IFERROR(__xludf.DUMMYFUNCTION("IMPORTRANGE(""https://docs.google.com/spreadsheets/d/1eHaY18a8A9IcSdp1K8H6x8fbOy06t2VsZHhMHf-1x7Y/edit?usp=sharing"",""แผน!N51"")"),0)</f>
        <v>0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hidden="1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IFERROR(__xludf.DUMMYFUNCTION("IMPORTRANGE(""https://docs.google.com/spreadsheets/d/1eHaY18a8A9IcSdp1K8H6x8fbOy06t2VsZHhMHf-1x7Y/edit?usp=sharing"",""แผน!O51"")"),0)</f>
        <v>0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hidden="1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IFERROR(__xludf.DUMMYFUNCTION("IMPORTRANGE(""https://docs.google.com/spreadsheets/d/1eHaY18a8A9IcSdp1K8H6x8fbOy06t2VsZHhMHf-1x7Y/edit?usp=sharing"",""แผน!R51"")"),0)</f>
        <v>0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IFERROR(__xludf.DUMMYFUNCTION("IMPORTRANGE(""https://docs.google.com/spreadsheets/d/1-uDff_7J0KD5mKrp0Vvzr7lt3OU09vwQwhkpOPPYv2Y/edit?usp=sharing"",""งบพรบ!BG51"")"),0)</f>
        <v>0</v>
      </c>
      <c r="M130" s="723">
        <f ca="1">IFERROR(__xludf.DUMMYFUNCTION("IMPORTRANGE(""https://docs.google.com/spreadsheets/d/1-uDff_7J0KD5mKrp0Vvzr7lt3OU09vwQwhkpOPPYv2Y/edit?usp=sharing"",""งบพรบ!BL51"")"),0)</f>
        <v>0</v>
      </c>
      <c r="N130" s="723">
        <f ca="1">IFERROR(__xludf.DUMMYFUNCTION("IMPORTRANGE(""https://docs.google.com/spreadsheets/d/1-uDff_7J0KD5mKrp0Vvzr7lt3OU09vwQwhkpOPPYv2Y/edit?usp=sharing"",""งบพรบ!BN51"")"),0)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IFERROR(__xludf.DUMMYFUNCTION("IMPORTRANGE(""https://docs.google.com/spreadsheets/d/1-uDff_7J0KD5mKrp0Vvzr7lt3OU09vwQwhkpOPPYv2Y/edit?usp=sharing"",""งบพรบ!BJ51"")"),0)</f>
        <v>0</v>
      </c>
      <c r="M133" s="723">
        <f ca="1">IFERROR(__xludf.DUMMYFUNCTION("IMPORTRANGE(""https://docs.google.com/spreadsheets/d/1-uDff_7J0KD5mKrp0Vvzr7lt3OU09vwQwhkpOPPYv2Y/edit?usp=sharing"",""งบพรบ!BM51"")"),0)</f>
        <v>0</v>
      </c>
      <c r="N133" s="723">
        <f ca="1">IFERROR(__xludf.DUMMYFUNCTION("IMPORTRANGE(""https://docs.google.com/spreadsheets/d/1-uDff_7J0KD5mKrp0Vvzr7lt3OU09vwQwhkpOPPYv2Y/edit?usp=sharing"",""งบพรบ!BO51"")"),0)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0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10</v>
      </c>
      <c r="J137" s="705">
        <f>J152</f>
        <v>0</v>
      </c>
      <c r="K137" s="704">
        <f ca="1">IF(I137&gt;0,J137*100/I137,0)</f>
        <v>0</v>
      </c>
      <c r="L137" s="703"/>
      <c r="M137" s="703"/>
      <c r="N137" s="703"/>
      <c r="O137" s="703"/>
      <c r="P137" s="703"/>
    </row>
    <row r="138" spans="1:16" ht="19.5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1</v>
      </c>
      <c r="J138" s="705">
        <f>J153</f>
        <v>0</v>
      </c>
      <c r="K138" s="704">
        <f ca="1">IF(I138&gt;0,J138*100/I138,0)</f>
        <v>0</v>
      </c>
      <c r="L138" s="703"/>
      <c r="M138" s="703"/>
      <c r="N138" s="703"/>
      <c r="O138" s="703"/>
      <c r="P138" s="703"/>
    </row>
    <row r="139" spans="1:16" ht="19.5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113800</v>
      </c>
      <c r="M139" s="577">
        <f ca="1">M140+M141</f>
        <v>83300</v>
      </c>
      <c r="N139" s="577">
        <f ca="1">N140+N141</f>
        <v>41307.4</v>
      </c>
      <c r="O139" s="577">
        <f ca="1">IF(L139&gt;0,N139*100/L139,0)</f>
        <v>36.298242530755715</v>
      </c>
      <c r="P139" s="577">
        <f ca="1">IF(M139&gt;0,N139*100/M139,0)</f>
        <v>49.588715486194481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113800</v>
      </c>
      <c r="M141" s="425">
        <f ca="1">M144+M147</f>
        <v>83300</v>
      </c>
      <c r="N141" s="425">
        <f ca="1">N144+N147</f>
        <v>41307.4</v>
      </c>
      <c r="O141" s="425">
        <f ca="1">IF(L141&gt;0,N141*100/L141,0)</f>
        <v>36.298242530755715</v>
      </c>
      <c r="P141" s="425">
        <f ca="1">IF(M141&gt;0,N141*100/M141,0)</f>
        <v>49.588715486194481</v>
      </c>
    </row>
    <row r="142" spans="1:16" ht="18.75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113800</v>
      </c>
      <c r="M142" s="425">
        <f ca="1">M143+M144</f>
        <v>83300</v>
      </c>
      <c r="N142" s="425">
        <f ca="1">N143+N144</f>
        <v>41307.4</v>
      </c>
      <c r="O142" s="425">
        <f ca="1">IF(L142&gt;0,N142*100/L142,0)</f>
        <v>36.298242530755715</v>
      </c>
      <c r="P142" s="425">
        <f ca="1">IF(M142&gt;0,N142*100/M142,0)</f>
        <v>49.588715486194481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IFERROR(__xludf.DUMMYFUNCTION("IMPORTRANGE(""https://docs.google.com/spreadsheets/d/1-uDff_7J0KD5mKrp0Vvzr7lt3OU09vwQwhkpOPPYv2Y/edit?usp=sharing"",""งบพรบ!BQ51"")"),113800)</f>
        <v>113800</v>
      </c>
      <c r="M144" s="425">
        <f ca="1">IFERROR(__xludf.DUMMYFUNCTION("IMPORTRANGE(""https://docs.google.com/spreadsheets/d/1-uDff_7J0KD5mKrp0Vvzr7lt3OU09vwQwhkpOPPYv2Y/edit?usp=sharing"",""งบพรบ!BV51"")"),83300)</f>
        <v>83300</v>
      </c>
      <c r="N144" s="425">
        <f ca="1">IFERROR(__xludf.DUMMYFUNCTION("IMPORTRANGE(""https://docs.google.com/spreadsheets/d/1-uDff_7J0KD5mKrp0Vvzr7lt3OU09vwQwhkpOPPYv2Y/edit?usp=sharing"",""งบพรบ!BX51"")"),41307.4)</f>
        <v>41307.4</v>
      </c>
      <c r="O144" s="425">
        <f ca="1">IF(L144&gt;0,N144*100/L144,0)</f>
        <v>36.298242530755715</v>
      </c>
      <c r="P144" s="425">
        <f ca="1">IF(M144&gt;0,N144*100/M144,0)</f>
        <v>49.588715486194481</v>
      </c>
    </row>
    <row r="145" spans="1:16" ht="18.75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IFERROR(__xludf.DUMMYFUNCTION("IMPORTRANGE(""https://docs.google.com/spreadsheets/d/1-uDff_7J0KD5mKrp0Vvzr7lt3OU09vwQwhkpOPPYv2Y/edit?usp=sharing"",""งบพรบ!BT51"")"),0)</f>
        <v>0</v>
      </c>
      <c r="M147" s="425">
        <f ca="1">IFERROR(__xludf.DUMMYFUNCTION("IMPORTRANGE(""https://docs.google.com/spreadsheets/d/1-uDff_7J0KD5mKrp0Vvzr7lt3OU09vwQwhkpOPPYv2Y/edit?usp=sharing"",""งบพรบ!BW51"")"),0)</f>
        <v>0</v>
      </c>
      <c r="N147" s="425">
        <f ca="1">IFERROR(__xludf.DUMMYFUNCTION("IMPORTRANGE(""https://docs.google.com/spreadsheets/d/1-uDff_7J0KD5mKrp0Vvzr7lt3OU09vwQwhkpOPPYv2Y/edit?usp=sharing"",""งบพรบ!BY51"")"),0)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x14ac:dyDescent="0.3">
      <c r="A150" s="535"/>
      <c r="B150" s="418"/>
      <c r="C150" s="418"/>
      <c r="D150" s="420"/>
      <c r="E150" s="570" t="s">
        <v>159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IFERROR(__xludf.DUMMYFUNCTION("IMPORTRANGE(""https://docs.google.com/spreadsheets/d/1eHaY18a8A9IcSdp1K8H6x8fbOy06t2VsZHhMHf-1x7Y/edit?usp=sharing"",""แผน!U51"")"),0)</f>
        <v>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IFERROR(__xludf.DUMMYFUNCTION("IMPORTRANGE(""https://docs.google.com/spreadsheets/d/1eHaY18a8A9IcSdp1K8H6x8fbOy06t2VsZHhMHf-1x7Y/edit?usp=sharing"",""แผน!V51"")"),0)</f>
        <v>0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x14ac:dyDescent="0.3">
      <c r="A152" s="535"/>
      <c r="B152" s="418"/>
      <c r="C152" s="418"/>
      <c r="D152" s="420"/>
      <c r="E152" s="570" t="s">
        <v>158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IFERROR(__xludf.DUMMYFUNCTION("IMPORTRANGE(""https://docs.google.com/spreadsheets/d/1eHaY18a8A9IcSdp1K8H6x8fbOy06t2VsZHhMHf-1x7Y/edit?usp=sharing"",""แผน!W51"")"),10)</f>
        <v>10</v>
      </c>
      <c r="J152" s="595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IFERROR(__xludf.DUMMYFUNCTION("IMPORTRANGE(""https://docs.google.com/spreadsheets/d/1eHaY18a8A9IcSdp1K8H6x8fbOy06t2VsZHhMHf-1x7Y/edit?usp=sharing"",""แผน!X51"")"),1)</f>
        <v>1</v>
      </c>
      <c r="J153" s="595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IFERROR(__xludf.DUMMYFUNCTION("IMPORTRANGE(""https://docs.google.com/spreadsheets/d/1eHaY18a8A9IcSdp1K8H6x8fbOy06t2VsZHhMHf-1x7Y/edit?usp=sharing"",""แผน!Y51"")"),0)</f>
        <v>0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hidden="1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hidden="1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I169</f>
        <v>0</v>
      </c>
      <c r="J156" s="705">
        <f>J169</f>
        <v>0</v>
      </c>
      <c r="K156" s="704">
        <f ca="1">IF(I156&gt;0,J156*100/I156,0)</f>
        <v>0</v>
      </c>
      <c r="L156" s="703"/>
      <c r="M156" s="703"/>
      <c r="N156" s="703"/>
      <c r="O156" s="703"/>
      <c r="P156" s="703"/>
    </row>
    <row r="157" spans="1:16" ht="19.5" hidden="1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hidden="1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hidden="1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hidden="1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IFERROR(__xludf.DUMMYFUNCTION("IMPORTRANGE(""https://docs.google.com/spreadsheets/d/1-uDff_7J0KD5mKrp0Vvzr7lt3OU09vwQwhkpOPPYv2Y/edit?usp=sharing"",""งบพรบ!CA51"")"),0)</f>
        <v>0</v>
      </c>
      <c r="M162" s="425">
        <f ca="1">IFERROR(__xludf.DUMMYFUNCTION("IMPORTRANGE(""https://docs.google.com/spreadsheets/d/1-uDff_7J0KD5mKrp0Vvzr7lt3OU09vwQwhkpOPPYv2Y/edit?usp=sharing"",""งบพรบ!CF51"")"),0)</f>
        <v>0</v>
      </c>
      <c r="N162" s="425">
        <f ca="1">IFERROR(__xludf.DUMMYFUNCTION("IMPORTRANGE(""https://docs.google.com/spreadsheets/d/1-uDff_7J0KD5mKrp0Vvzr7lt3OU09vwQwhkpOPPYv2Y/edit?usp=sharing"",""งบพรบ!CH51"")"),0)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hidden="1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hidden="1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IFERROR(__xludf.DUMMYFUNCTION("IMPORTRANGE(""https://docs.google.com/spreadsheets/d/1-uDff_7J0KD5mKrp0Vvzr7lt3OU09vwQwhkpOPPYv2Y/edit?usp=sharing"",""งบพรบ!CD51"")"),0)</f>
        <v>0</v>
      </c>
      <c r="M165" s="425">
        <f ca="1">IFERROR(__xludf.DUMMYFUNCTION("IMPORTRANGE(""https://docs.google.com/spreadsheets/d/1-uDff_7J0KD5mKrp0Vvzr7lt3OU09vwQwhkpOPPYv2Y/edit?usp=sharing"",""งบพรบ!CG51"")"),0)</f>
        <v>0</v>
      </c>
      <c r="N165" s="425">
        <f ca="1">IFERROR(__xludf.DUMMYFUNCTION("IMPORTRANGE(""https://docs.google.com/spreadsheets/d/1-uDff_7J0KD5mKrp0Vvzr7lt3OU09vwQwhkpOPPYv2Y/edit?usp=sharing"",""งบพรบ!CI51"")"),0)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hidden="1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hidden="1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IFERROR(__xludf.DUMMYFUNCTION("IMPORTRANGE(""https://docs.google.com/spreadsheets/d/1eHaY18a8A9IcSdp1K8H6x8fbOy06t2VsZHhMHf-1x7Y/edit?usp=sharing"",""แผน!Z51"")"),0)</f>
        <v>0</v>
      </c>
      <c r="J167" s="595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IFERROR(__xludf.DUMMYFUNCTION("IMPORTRANGE(""https://docs.google.com/spreadsheets/d/1eHaY18a8A9IcSdp1K8H6x8fbOy06t2VsZHhMHf-1x7Y/edit?usp=sharing"",""แผน!Z51"")"),0)</f>
        <v>0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IFERROR(__xludf.DUMMYFUNCTION("IMPORTRANGE(""https://docs.google.com/spreadsheets/d/1eHaY18a8A9IcSdp1K8H6x8fbOy06t2VsZHhMHf-1x7Y/edit?usp=sharing"",""แผน!Z51"")"),0)</f>
        <v>0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7</v>
      </c>
      <c r="J172" s="688">
        <f>J183+J184</f>
        <v>0</v>
      </c>
      <c r="K172" s="687">
        <f ca="1">IF(I172&gt;0,J172*100/I172,0)</f>
        <v>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19590</v>
      </c>
      <c r="M173" s="577">
        <f ca="1">M174+M175</f>
        <v>19590</v>
      </c>
      <c r="N173" s="577">
        <f ca="1">N174+N175</f>
        <v>19090</v>
      </c>
      <c r="O173" s="577">
        <f ca="1">IF(L173&gt;0,N173*100/L173,0)</f>
        <v>97.447677386421645</v>
      </c>
      <c r="P173" s="577">
        <f ca="1">IF(M173&gt;0,N173*100/M173,0)</f>
        <v>97.447677386421645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19590</v>
      </c>
      <c r="N175" s="425">
        <f ca="1">N178+N181</f>
        <v>19090</v>
      </c>
      <c r="O175" s="425">
        <f ca="1">IF(L175&gt;0,N175*100/L175,0)</f>
        <v>97.447677386421645</v>
      </c>
      <c r="P175" s="425">
        <f ca="1">IF(M175&gt;0,N175*100/M175,0)</f>
        <v>97.447677386421645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19590</v>
      </c>
      <c r="M176" s="425">
        <f ca="1">M177+M178</f>
        <v>19590</v>
      </c>
      <c r="N176" s="425">
        <f ca="1">N177+N178</f>
        <v>19090</v>
      </c>
      <c r="O176" s="425">
        <f ca="1">IF(L176&gt;0,N176*100/L176,0)</f>
        <v>97.447677386421645</v>
      </c>
      <c r="P176" s="425">
        <f ca="1">IF(M176&gt;0,N176*100/M176,0)</f>
        <v>97.447677386421645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IFERROR(__xludf.DUMMYFUNCTION("IMPORTRANGE(""https://docs.google.com/spreadsheets/d/1-uDff_7J0KD5mKrp0Vvzr7lt3OU09vwQwhkpOPPYv2Y/edit?usp=sharing"",""งบพรบ!CK51"")"),19590)</f>
        <v>19590</v>
      </c>
      <c r="M178" s="425">
        <f ca="1">IFERROR(__xludf.DUMMYFUNCTION("IMPORTRANGE(""https://docs.google.com/spreadsheets/d/1-uDff_7J0KD5mKrp0Vvzr7lt3OU09vwQwhkpOPPYv2Y/edit?usp=sharing"",""งบพรบ!CP51"")"),19590)</f>
        <v>19590</v>
      </c>
      <c r="N178" s="425">
        <f ca="1">IFERROR(__xludf.DUMMYFUNCTION("IMPORTRANGE(""https://docs.google.com/spreadsheets/d/1-uDff_7J0KD5mKrp0Vvzr7lt3OU09vwQwhkpOPPYv2Y/edit?usp=sharing"",""งบพรบ!CR51"")"),19090)</f>
        <v>19090</v>
      </c>
      <c r="O178" s="425">
        <f ca="1">IF(L178&gt;0,N178*100/L178,0)</f>
        <v>97.447677386421645</v>
      </c>
      <c r="P178" s="425">
        <f ca="1">IF(M178&gt;0,N178*100/M178,0)</f>
        <v>97.447677386421645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IFERROR(__xludf.DUMMYFUNCTION("IMPORTRANGE(""https://docs.google.com/spreadsheets/d/1-uDff_7J0KD5mKrp0Vvzr7lt3OU09vwQwhkpOPPYv2Y/edit?usp=sharing"",""งบพรบ!CN51"")"),0)</f>
        <v>0</v>
      </c>
      <c r="M181" s="425">
        <f ca="1">IFERROR(__xludf.DUMMYFUNCTION("IMPORTRANGE(""https://docs.google.com/spreadsheets/d/1-uDff_7J0KD5mKrp0Vvzr7lt3OU09vwQwhkpOPPYv2Y/edit?usp=sharing"",""งบพรบ!CQ51"")"),0)</f>
        <v>0</v>
      </c>
      <c r="N181" s="425">
        <f ca="1">IFERROR(__xludf.DUMMYFUNCTION("IMPORTRANGE(""https://docs.google.com/spreadsheets/d/1-uDff_7J0KD5mKrp0Vvzr7lt3OU09vwQwhkpOPPYv2Y/edit?usp=sharing"",""งบพรบ!CS51"")"),0)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IFERROR(__xludf.DUMMYFUNCTION("IMPORTRANGE(""https://docs.google.com/spreadsheets/d/1eHaY18a8A9IcSdp1K8H6x8fbOy06t2VsZHhMHf-1x7Y/edit?usp=sharing"",""แผน!AA51"")"),7)</f>
        <v>7</v>
      </c>
      <c r="J183" s="595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40</v>
      </c>
      <c r="J185" s="688">
        <f>J230+J231</f>
        <v>0</v>
      </c>
      <c r="K185" s="687">
        <f ca="1">IF(I185&gt;0,J185*100/I185,0)</f>
        <v>0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433500</v>
      </c>
      <c r="M186" s="577">
        <f ca="1">M187+M188</f>
        <v>329500</v>
      </c>
      <c r="N186" s="577">
        <f ca="1">N187+N188</f>
        <v>79567</v>
      </c>
      <c r="O186" s="577">
        <f ca="1">IF(L186&gt;0,N186*100/L186,0)</f>
        <v>18.354555940023069</v>
      </c>
      <c r="P186" s="577">
        <f ca="1">IF(M186&gt;0,N186*100/M186,0)</f>
        <v>24.147799696509864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433500</v>
      </c>
      <c r="M188" s="425">
        <f ca="1">M191+M194</f>
        <v>329500</v>
      </c>
      <c r="N188" s="425">
        <f ca="1">N191+N194</f>
        <v>79567</v>
      </c>
      <c r="O188" s="425">
        <f ca="1">IF(L188&gt;0,N188*100/L188,0)</f>
        <v>18.354555940023069</v>
      </c>
      <c r="P188" s="425">
        <f ca="1">IF(M188&gt;0,N188*100/M188,0)</f>
        <v>24.147799696509864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433500</v>
      </c>
      <c r="M189" s="425">
        <f ca="1">M190+M191</f>
        <v>329500</v>
      </c>
      <c r="N189" s="425">
        <f ca="1">N190+N191</f>
        <v>79567</v>
      </c>
      <c r="O189" s="425">
        <f ca="1">IF(L189&gt;0,N189*100/L189,0)</f>
        <v>18.354555940023069</v>
      </c>
      <c r="P189" s="425">
        <f ca="1">IF(M189&gt;0,N189*100/M189,0)</f>
        <v>24.147799696509864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IFERROR(__xludf.DUMMYFUNCTION("IMPORTRANGE(""https://docs.google.com/spreadsheets/d/1-uDff_7J0KD5mKrp0Vvzr7lt3OU09vwQwhkpOPPYv2Y/edit?usp=sharing"",""งบพรบ!CU51"")"),433500)</f>
        <v>433500</v>
      </c>
      <c r="M191" s="425">
        <f ca="1">IFERROR(__xludf.DUMMYFUNCTION("IMPORTRANGE(""https://docs.google.com/spreadsheets/d/1-uDff_7J0KD5mKrp0Vvzr7lt3OU09vwQwhkpOPPYv2Y/edit?usp=sharing"",""งบพรบ!CZ51"")"),329500)</f>
        <v>329500</v>
      </c>
      <c r="N191" s="425">
        <f ca="1">IFERROR(__xludf.DUMMYFUNCTION("IMPORTRANGE(""https://docs.google.com/spreadsheets/d/1-uDff_7J0KD5mKrp0Vvzr7lt3OU09vwQwhkpOPPYv2Y/edit?usp=sharing"",""งบพรบ!DB51"")"),79567)</f>
        <v>79567</v>
      </c>
      <c r="O191" s="425">
        <f ca="1">IF(L191&gt;0,N191*100/L191,0)</f>
        <v>18.354555940023069</v>
      </c>
      <c r="P191" s="425">
        <f ca="1">IF(M191&gt;0,N191*100/M191,0)</f>
        <v>24.147799696509864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IFERROR(__xludf.DUMMYFUNCTION("IMPORTRANGE(""https://docs.google.com/spreadsheets/d/1-uDff_7J0KD5mKrp0Vvzr7lt3OU09vwQwhkpOPPYv2Y/edit?usp=sharing"",""งบพรบ!CX51"")"),0)</f>
        <v>0</v>
      </c>
      <c r="M194" s="425">
        <f ca="1">IFERROR(__xludf.DUMMYFUNCTION("IMPORTRANGE(""https://docs.google.com/spreadsheets/d/1-uDff_7J0KD5mKrp0Vvzr7lt3OU09vwQwhkpOPPYv2Y/edit?usp=sharing"",""งบพรบ!DA51"")"),0)</f>
        <v>0</v>
      </c>
      <c r="N194" s="425">
        <f ca="1">IFERROR(__xludf.DUMMYFUNCTION("IMPORTRANGE(""https://docs.google.com/spreadsheets/d/1-uDff_7J0KD5mKrp0Vvzr7lt3OU09vwQwhkpOPPYv2Y/edit?usp=sharing"",""งบพรบ!DC51"")"),0)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0</v>
      </c>
      <c r="K195" s="439">
        <f ca="1">IF(I195&gt;0,J195*100/I195,0)</f>
        <v>0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IFERROR(__xludf.DUMMYFUNCTION("IMPORTRANGE(""https://docs.google.com/spreadsheets/d/1eHaY18a8A9IcSdp1K8H6x8fbOy06t2VsZHhMHf-1x7Y/edit?usp=sharing"",""แผน!AB51"")"),6000)</f>
        <v>6000</v>
      </c>
      <c r="M196" s="428"/>
      <c r="N196" s="686">
        <v>0</v>
      </c>
      <c r="O196" s="577">
        <f ca="1">IF(L196&gt;0,N196*100/L196,0)</f>
        <v>0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IFERROR(__xludf.DUMMYFUNCTION("IMPORTRANGE(""https://docs.google.com/spreadsheets/d/1eHaY18a8A9IcSdp1K8H6x8fbOy06t2VsZHhMHf-1x7Y/edit?usp=sharing"",""แผน!AE51"")"),4)</f>
        <v>4</v>
      </c>
      <c r="J198" s="595">
        <v>0</v>
      </c>
      <c r="K198" s="425">
        <f ca="1">IF(I198&gt;0,J198*100/I198,0)</f>
        <v>0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2</v>
      </c>
      <c r="J202" s="438">
        <f>J209</f>
        <v>0</v>
      </c>
      <c r="K202" s="439">
        <f ca="1">IF(I202&gt;0,J202*100/I202,0)</f>
        <v>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26000</v>
      </c>
      <c r="M203" s="428"/>
      <c r="N203" s="577">
        <f>N204+N205+N206+N207</f>
        <v>0</v>
      </c>
      <c r="O203" s="577">
        <f ca="1">IF(L203&gt;0,N203*100/L203,0)</f>
        <v>0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2" t="s">
        <v>157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IFERROR(__xludf.DUMMYFUNCTION("IMPORTRANGE(""https://docs.google.com/spreadsheets/d/1eHaY18a8A9IcSdp1K8H6x8fbOy06t2VsZHhMHf-1x7Y/edit?usp=sharing"",""แผน!AG51"")"),2000)</f>
        <v>2000</v>
      </c>
      <c r="M204" s="428"/>
      <c r="N204" s="683">
        <v>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IFERROR(__xludf.DUMMYFUNCTION("IMPORTRANGE(""https://docs.google.com/spreadsheets/d/1eHaY18a8A9IcSdp1K8H6x8fbOy06t2VsZHhMHf-1x7Y/edit?usp=sharing"",""แผน!AH51"")"),0)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IFERROR(__xludf.DUMMYFUNCTION("IMPORTRANGE(""https://docs.google.com/spreadsheets/d/1eHaY18a8A9IcSdp1K8H6x8fbOy06t2VsZHhMHf-1x7Y/edit?usp=sharing"",""แผน!AI51"")"),16000)</f>
        <v>16000</v>
      </c>
      <c r="M206" s="428"/>
      <c r="N206" s="683">
        <v>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IFERROR(__xludf.DUMMYFUNCTION("IMPORTRANGE(""https://docs.google.com/spreadsheets/d/1eHaY18a8A9IcSdp1K8H6x8fbOy06t2VsZHhMHf-1x7Y/edit?usp=sharing"",""แผน!AJ51"")"),8000)</f>
        <v>8000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IFERROR(__xludf.DUMMYFUNCTION("IMPORTRANGE(""https://docs.google.com/spreadsheets/d/1eHaY18a8A9IcSdp1K8H6x8fbOy06t2VsZHhMHf-1x7Y/edit?usp=sharing"",""แผน!AK51"")"),2)</f>
        <v>2</v>
      </c>
      <c r="J209" s="595">
        <v>0</v>
      </c>
      <c r="K209" s="621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IFERROR(__xludf.DUMMYFUNCTION("IMPORTRANGE(""https://docs.google.com/spreadsheets/d/1eHaY18a8A9IcSdp1K8H6x8fbOy06t2VsZHhMHf-1x7Y/edit?usp=sharing"",""แผน!JX51"")"),2)</f>
        <v>2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IFERROR(__xludf.DUMMYFUNCTION("IMPORTRANGE(""https://docs.google.com/spreadsheets/d/1eHaY18a8A9IcSdp1K8H6x8fbOy06t2VsZHhMHf-1x7Y/edit?usp=sharing"",""แผน!JY51"")"),0)</f>
        <v>0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2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28000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IFERROR(__xludf.DUMMYFUNCTION("IMPORTRANGE(""https://docs.google.com/spreadsheets/d/1eHaY18a8A9IcSdp1K8H6x8fbOy06t2VsZHhMHf-1x7Y/edit?usp=sharing"",""แผน!AM51"")"),2000)</f>
        <v>2000</v>
      </c>
      <c r="M215" s="428"/>
      <c r="N215" s="683">
        <v>0</v>
      </c>
      <c r="O215" s="525"/>
      <c r="P215" s="428"/>
    </row>
    <row r="216" spans="1:16" ht="18.75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IFERROR(__xludf.DUMMYFUNCTION("IMPORTRANGE(""https://docs.google.com/spreadsheets/d/1eHaY18a8A9IcSdp1K8H6x8fbOy06t2VsZHhMHf-1x7Y/edit?usp=sharing"",""แผน!AN51"")"),10000)</f>
        <v>10000</v>
      </c>
      <c r="M216" s="428"/>
      <c r="N216" s="683">
        <v>0</v>
      </c>
      <c r="O216" s="525"/>
      <c r="P216" s="428"/>
    </row>
    <row r="217" spans="1:16" ht="18.75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IFERROR(__xludf.DUMMYFUNCTION("IMPORTRANGE(""https://docs.google.com/spreadsheets/d/1eHaY18a8A9IcSdp1K8H6x8fbOy06t2VsZHhMHf-1x7Y/edit?usp=sharing"",""แผน!AO51"")"),16000)</f>
        <v>16000</v>
      </c>
      <c r="M217" s="428"/>
      <c r="N217" s="683">
        <v>0</v>
      </c>
      <c r="O217" s="525"/>
      <c r="P217" s="428"/>
    </row>
    <row r="218" spans="1:16" ht="19.5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IFERROR(__xludf.DUMMYFUNCTION("IMPORTRANGE(""https://docs.google.com/spreadsheets/d/1eHaY18a8A9IcSdp1K8H6x8fbOy06t2VsZHhMHf-1x7Y/edit?usp=sharing"",""แผน!AP51"")"),2)</f>
        <v>2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IFERROR(__xludf.DUMMYFUNCTION("IMPORTRANGE(""https://docs.google.com/spreadsheets/d/1eHaY18a8A9IcSdp1K8H6x8fbOy06t2VsZHhMHf-1x7Y/edit?usp=sharing"",""แผน!AP51"")"),2)</f>
        <v>2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30000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6500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3" t="s">
        <v>80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IFERROR(__xludf.DUMMYFUNCTION("IMPORTRANGE(""https://docs.google.com/spreadsheets/d/1eHaY18a8A9IcSdp1K8H6x8fbOy06t2VsZHhMHf-1x7Y/edit?usp=sharing"",""แผน!AR51"")"),5000)</f>
        <v>5000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94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IFERROR(__xludf.DUMMYFUNCTION("IMPORTRANGE(""https://docs.google.com/spreadsheets/d/1eHaY18a8A9IcSdp1K8H6x8fbOy06t2VsZHhMHf-1x7Y/edit?usp=sharing"",""แผน!AS51"")"),1500)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IFERROR(__xludf.DUMMYFUNCTION("IMPORTRANGE(""https://docs.google.com/spreadsheets/d/1eHaY18a8A9IcSdp1K8H6x8fbOy06t2VsZHhMHf-1x7Y/edit?usp=sharing"",""แผน!AT51"")"),0)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IFERROR(__xludf.DUMMYFUNCTION("IMPORTRANGE(""https://docs.google.com/spreadsheets/d/1eHaY18a8A9IcSdp1K8H6x8fbOy06t2VsZHhMHf-1x7Y/edit?usp=sharing"",""แผน!AV51"")"),30000)</f>
        <v>30000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IFERROR(__xludf.DUMMYFUNCTION("IMPORTRANGE(""https://docs.google.com/spreadsheets/d/1eHaY18a8A9IcSdp1K8H6x8fbOy06t2VsZHhMHf-1x7Y/edit?usp=sharing"",""แผน!AV51"")"),30000)</f>
        <v>30000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IFERROR(__xludf.DUMMYFUNCTION("IMPORTRANGE(""https://docs.google.com/spreadsheets/d/1eHaY18a8A9IcSdp1K8H6x8fbOy06t2VsZHhMHf-1x7Y/edit?usp=sharing"",""แผน!AU51"")"),0)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432"/>
      <c r="B231" s="434"/>
      <c r="C231" s="682" t="s">
        <v>99</v>
      </c>
      <c r="D231" s="433"/>
      <c r="E231" s="433"/>
      <c r="F231" s="433"/>
      <c r="G231" s="436"/>
      <c r="H231" s="437" t="s">
        <v>33</v>
      </c>
      <c r="I231" s="438">
        <f ca="1">I242+I253</f>
        <v>40</v>
      </c>
      <c r="J231" s="438">
        <f>J242+J253</f>
        <v>0</v>
      </c>
      <c r="K231" s="439">
        <f ca="1">IF(I231&gt;0,J231*100/I231,0)</f>
        <v>0</v>
      </c>
      <c r="L231" s="571"/>
      <c r="M231" s="571"/>
      <c r="N231" s="571"/>
      <c r="O231" s="571"/>
      <c r="P231" s="571"/>
    </row>
    <row r="232" spans="1:16" ht="19.5" hidden="1" x14ac:dyDescent="0.3">
      <c r="A232" s="535"/>
      <c r="B232" s="418"/>
      <c r="C232" s="570" t="s">
        <v>16</v>
      </c>
      <c r="D232" s="579" t="s">
        <v>17</v>
      </c>
      <c r="E232" s="418"/>
      <c r="F232" s="418"/>
      <c r="G232" s="422"/>
      <c r="H232" s="681" t="s">
        <v>12</v>
      </c>
      <c r="I232" s="526"/>
      <c r="J232" s="526"/>
      <c r="K232" s="525"/>
      <c r="L232" s="577">
        <f ca="1">L243+L254</f>
        <v>185000</v>
      </c>
      <c r="M232" s="428"/>
      <c r="N232" s="577">
        <f>N243+N254</f>
        <v>0</v>
      </c>
      <c r="O232" s="428"/>
      <c r="P232" s="428"/>
    </row>
    <row r="233" spans="1:16" ht="18.75" hidden="1" x14ac:dyDescent="0.25">
      <c r="A233" s="535"/>
      <c r="B233" s="419"/>
      <c r="C233" s="418"/>
      <c r="D233" s="292" t="s">
        <v>157</v>
      </c>
      <c r="E233" s="418"/>
      <c r="F233" s="418"/>
      <c r="G233" s="422"/>
      <c r="H233" s="576" t="s">
        <v>12</v>
      </c>
      <c r="I233" s="526"/>
      <c r="J233" s="526"/>
      <c r="K233" s="525"/>
      <c r="L233" s="425">
        <f ca="1">L244+L255</f>
        <v>101000</v>
      </c>
      <c r="M233" s="428"/>
      <c r="N233" s="425">
        <f>N244+N255</f>
        <v>0</v>
      </c>
      <c r="O233" s="428"/>
      <c r="P233" s="428"/>
    </row>
    <row r="234" spans="1:16" ht="18.75" hidden="1" x14ac:dyDescent="0.25">
      <c r="A234" s="417"/>
      <c r="B234" s="419"/>
      <c r="C234" s="419"/>
      <c r="D234" s="293" t="s">
        <v>81</v>
      </c>
      <c r="E234" s="418"/>
      <c r="F234" s="418"/>
      <c r="G234" s="422"/>
      <c r="H234" s="576" t="s">
        <v>12</v>
      </c>
      <c r="I234" s="427"/>
      <c r="J234" s="427"/>
      <c r="K234" s="428"/>
      <c r="L234" s="425">
        <f ca="1">L245+L256</f>
        <v>3000</v>
      </c>
      <c r="M234" s="428"/>
      <c r="N234" s="425">
        <f>N245+N256</f>
        <v>0</v>
      </c>
      <c r="O234" s="428"/>
      <c r="P234" s="428"/>
    </row>
    <row r="235" spans="1:16" ht="18.75" hidden="1" x14ac:dyDescent="0.25">
      <c r="A235" s="417"/>
      <c r="B235" s="419"/>
      <c r="C235" s="419"/>
      <c r="D235" s="293" t="s">
        <v>82</v>
      </c>
      <c r="E235" s="418"/>
      <c r="F235" s="418"/>
      <c r="G235" s="422"/>
      <c r="H235" s="576" t="s">
        <v>12</v>
      </c>
      <c r="I235" s="427"/>
      <c r="J235" s="427"/>
      <c r="K235" s="428"/>
      <c r="L235" s="425">
        <f ca="1">L246+L257</f>
        <v>48000</v>
      </c>
      <c r="M235" s="428"/>
      <c r="N235" s="425">
        <f>N246+N257</f>
        <v>0</v>
      </c>
      <c r="O235" s="428"/>
      <c r="P235" s="428"/>
    </row>
    <row r="236" spans="1:16" ht="18.75" hidden="1" x14ac:dyDescent="0.25">
      <c r="A236" s="417"/>
      <c r="B236" s="419"/>
      <c r="C236" s="419"/>
      <c r="D236" s="293" t="s">
        <v>83</v>
      </c>
      <c r="E236" s="418"/>
      <c r="F236" s="418"/>
      <c r="G236" s="422"/>
      <c r="H236" s="576" t="s">
        <v>12</v>
      </c>
      <c r="I236" s="427"/>
      <c r="J236" s="427"/>
      <c r="K236" s="428"/>
      <c r="L236" s="425">
        <f ca="1">L247+L258</f>
        <v>33000</v>
      </c>
      <c r="M236" s="428"/>
      <c r="N236" s="425">
        <f>N247+N258</f>
        <v>0</v>
      </c>
      <c r="O236" s="428"/>
      <c r="P236" s="428"/>
    </row>
    <row r="237" spans="1:16" ht="19.5" hidden="1" x14ac:dyDescent="0.3">
      <c r="A237" s="532"/>
      <c r="B237" s="430"/>
      <c r="C237" s="680" t="s">
        <v>16</v>
      </c>
      <c r="D237" s="569" t="s">
        <v>36</v>
      </c>
      <c r="E237" s="529"/>
      <c r="F237" s="529"/>
      <c r="G237" s="528"/>
      <c r="H237" s="527"/>
      <c r="I237" s="526"/>
      <c r="J237" s="427"/>
      <c r="K237" s="428"/>
      <c r="L237" s="428"/>
      <c r="M237" s="428"/>
      <c r="N237" s="428"/>
      <c r="O237" s="525"/>
      <c r="P237" s="525"/>
    </row>
    <row r="238" spans="1:16" ht="18.75" hidden="1" x14ac:dyDescent="0.25">
      <c r="A238" s="532"/>
      <c r="B238" s="430"/>
      <c r="C238" s="430"/>
      <c r="D238" s="421" t="s">
        <v>102</v>
      </c>
      <c r="E238" s="420"/>
      <c r="F238" s="420"/>
      <c r="G238" s="527"/>
      <c r="H238" s="566" t="s">
        <v>33</v>
      </c>
      <c r="I238" s="424">
        <f ca="1">I249+I260</f>
        <v>40</v>
      </c>
      <c r="J238" s="424">
        <f>J249+J260</f>
        <v>0</v>
      </c>
      <c r="K238" s="425">
        <f ca="1">IF(I238&gt;0,J238*100/I238,0)</f>
        <v>0</v>
      </c>
      <c r="L238" s="428"/>
      <c r="M238" s="428"/>
      <c r="N238" s="428"/>
      <c r="O238" s="428"/>
      <c r="P238" s="428"/>
    </row>
    <row r="239" spans="1:16" ht="18.75" hidden="1" x14ac:dyDescent="0.25">
      <c r="A239" s="532"/>
      <c r="B239" s="430"/>
      <c r="C239" s="430"/>
      <c r="D239" s="679" t="s">
        <v>41</v>
      </c>
      <c r="E239" s="420"/>
      <c r="F239" s="420"/>
      <c r="G239" s="527"/>
      <c r="H239" s="527"/>
      <c r="I239" s="427"/>
      <c r="J239" s="427"/>
      <c r="K239" s="428"/>
      <c r="L239" s="428"/>
      <c r="M239" s="428"/>
      <c r="N239" s="428"/>
      <c r="O239" s="525"/>
      <c r="P239" s="525"/>
    </row>
    <row r="240" spans="1:16" ht="18.75" hidden="1" x14ac:dyDescent="0.25">
      <c r="A240" s="532"/>
      <c r="B240" s="430"/>
      <c r="C240" s="430"/>
      <c r="D240" s="430"/>
      <c r="E240" s="567" t="s">
        <v>103</v>
      </c>
      <c r="F240" s="420"/>
      <c r="G240" s="527"/>
      <c r="H240" s="566" t="s">
        <v>33</v>
      </c>
      <c r="I240" s="424">
        <f ca="1">I251+I262</f>
        <v>40</v>
      </c>
      <c r="J240" s="424">
        <f>J251+J262</f>
        <v>0</v>
      </c>
      <c r="K240" s="425">
        <f ca="1">IF(I240&gt;0,J240*100/I240,0)</f>
        <v>0</v>
      </c>
      <c r="L240" s="428"/>
      <c r="M240" s="428"/>
      <c r="N240" s="428"/>
      <c r="O240" s="428"/>
      <c r="P240" s="428"/>
    </row>
    <row r="241" spans="1:16" ht="18.75" hidden="1" x14ac:dyDescent="0.25">
      <c r="A241" s="532"/>
      <c r="B241" s="430"/>
      <c r="C241" s="430"/>
      <c r="D241" s="430"/>
      <c r="E241" s="567" t="s">
        <v>104</v>
      </c>
      <c r="F241" s="420"/>
      <c r="G241" s="527"/>
      <c r="H241" s="566" t="s">
        <v>54</v>
      </c>
      <c r="I241" s="424">
        <f ca="1">I252+I263</f>
        <v>1</v>
      </c>
      <c r="J241" s="424">
        <f>J252+J263</f>
        <v>0</v>
      </c>
      <c r="K241" s="425">
        <f ca="1">IF(I241&gt;0,J241*100/I241,0)</f>
        <v>0</v>
      </c>
      <c r="L241" s="428"/>
      <c r="M241" s="428"/>
      <c r="N241" s="428"/>
      <c r="O241" s="428"/>
      <c r="P241" s="428"/>
    </row>
    <row r="242" spans="1:16" ht="19.5" x14ac:dyDescent="0.3">
      <c r="A242" s="279"/>
      <c r="B242" s="280"/>
      <c r="C242" s="281" t="s">
        <v>180</v>
      </c>
      <c r="D242" s="282"/>
      <c r="E242" s="282"/>
      <c r="F242" s="282"/>
      <c r="G242" s="283"/>
      <c r="H242" s="284" t="s">
        <v>33</v>
      </c>
      <c r="I242" s="285">
        <f ca="1">I249</f>
        <v>40</v>
      </c>
      <c r="J242" s="285">
        <f>J249</f>
        <v>0</v>
      </c>
      <c r="K242" s="286">
        <f ca="1">IF(I242&gt;0,J242*100/I242,0)</f>
        <v>0</v>
      </c>
      <c r="L242" s="287"/>
      <c r="M242" s="287"/>
      <c r="N242" s="287"/>
      <c r="O242" s="287"/>
      <c r="P242" s="287"/>
    </row>
    <row r="243" spans="1:16" ht="19.5" x14ac:dyDescent="0.3">
      <c r="A243" s="157"/>
      <c r="B243" s="53"/>
      <c r="C243" s="158" t="s">
        <v>16</v>
      </c>
      <c r="D243" s="849" t="s">
        <v>17</v>
      </c>
      <c r="E243" s="53"/>
      <c r="F243" s="53"/>
      <c r="G243" s="55"/>
      <c r="H243" s="289" t="s">
        <v>12</v>
      </c>
      <c r="I243" s="164"/>
      <c r="J243" s="164"/>
      <c r="K243" s="165"/>
      <c r="L243" s="161">
        <f ca="1">L244+L245+L246+L247</f>
        <v>185000</v>
      </c>
      <c r="M243" s="58"/>
      <c r="N243" s="161">
        <f>N244+N245+N246+N247</f>
        <v>0</v>
      </c>
      <c r="O243" s="161">
        <f ca="1">IF(L243&gt;0,N243*100/L243,0)</f>
        <v>0</v>
      </c>
      <c r="P243" s="161">
        <f>IF(M243&gt;0,N243*100/M243,0)</f>
        <v>0</v>
      </c>
    </row>
    <row r="244" spans="1:16" ht="18.75" x14ac:dyDescent="0.25">
      <c r="A244" s="157"/>
      <c r="B244" s="278"/>
      <c r="C244" s="53"/>
      <c r="D244" s="292" t="s">
        <v>157</v>
      </c>
      <c r="E244" s="53"/>
      <c r="F244" s="53"/>
      <c r="G244" s="55"/>
      <c r="H244" s="163" t="s">
        <v>12</v>
      </c>
      <c r="I244" s="164"/>
      <c r="J244" s="164"/>
      <c r="K244" s="165"/>
      <c r="L244" s="61">
        <f ca="1">IFERROR(__xludf.DUMMYFUNCTION("IMPORTRANGE(""https://docs.google.com/spreadsheets/d/1eHaY18a8A9IcSdp1K8H6x8fbOy06t2VsZHhMHf-1x7Y/edit?usp=sharing"",""แผน!AX51"")"),101000)</f>
        <v>101000</v>
      </c>
      <c r="M244" s="58"/>
      <c r="N244" s="848">
        <v>0</v>
      </c>
      <c r="O244" s="58"/>
      <c r="P244" s="58"/>
    </row>
    <row r="245" spans="1:16" ht="18.75" x14ac:dyDescent="0.25">
      <c r="A245" s="274"/>
      <c r="B245" s="278"/>
      <c r="C245" s="278"/>
      <c r="D245" s="293" t="s">
        <v>81</v>
      </c>
      <c r="E245" s="53"/>
      <c r="F245" s="53"/>
      <c r="G245" s="55"/>
      <c r="H245" s="163" t="s">
        <v>12</v>
      </c>
      <c r="I245" s="57"/>
      <c r="J245" s="57"/>
      <c r="K245" s="58"/>
      <c r="L245" s="61">
        <f ca="1">IFERROR(__xludf.DUMMYFUNCTION("IMPORTRANGE(""https://docs.google.com/spreadsheets/d/1eHaY18a8A9IcSdp1K8H6x8fbOy06t2VsZHhMHf-1x7Y/edit?usp=sharing"",""แผน!AY51"")"),3000)</f>
        <v>3000</v>
      </c>
      <c r="M245" s="58"/>
      <c r="N245" s="848">
        <v>0</v>
      </c>
      <c r="O245" s="58"/>
      <c r="P245" s="58"/>
    </row>
    <row r="246" spans="1:16" ht="18.75" x14ac:dyDescent="0.25">
      <c r="A246" s="274"/>
      <c r="B246" s="278"/>
      <c r="C246" s="278"/>
      <c r="D246" s="293" t="s">
        <v>82</v>
      </c>
      <c r="E246" s="53"/>
      <c r="F246" s="53"/>
      <c r="G246" s="55"/>
      <c r="H246" s="163" t="s">
        <v>12</v>
      </c>
      <c r="I246" s="57"/>
      <c r="J246" s="57"/>
      <c r="K246" s="58"/>
      <c r="L246" s="61">
        <f ca="1">IFERROR(__xludf.DUMMYFUNCTION("IMPORTRANGE(""https://docs.google.com/spreadsheets/d/1eHaY18a8A9IcSdp1K8H6x8fbOy06t2VsZHhMHf-1x7Y/edit?usp=sharing"",""แผน!AZ51"")"),48000)</f>
        <v>48000</v>
      </c>
      <c r="M246" s="58"/>
      <c r="N246" s="848">
        <v>0</v>
      </c>
      <c r="O246" s="58"/>
      <c r="P246" s="58"/>
    </row>
    <row r="247" spans="1:16" ht="18.75" x14ac:dyDescent="0.25">
      <c r="A247" s="274"/>
      <c r="B247" s="278"/>
      <c r="C247" s="278"/>
      <c r="D247" s="293" t="s">
        <v>83</v>
      </c>
      <c r="E247" s="53"/>
      <c r="F247" s="53"/>
      <c r="G247" s="55"/>
      <c r="H247" s="163" t="s">
        <v>12</v>
      </c>
      <c r="I247" s="57"/>
      <c r="J247" s="57"/>
      <c r="K247" s="58"/>
      <c r="L247" s="61">
        <f ca="1">IFERROR(__xludf.DUMMYFUNCTION("IMPORTRANGE(""https://docs.google.com/spreadsheets/d/1eHaY18a8A9IcSdp1K8H6x8fbOy06t2VsZHhMHf-1x7Y/edit?usp=sharing"",""แผน!BA51"")"),33000)</f>
        <v>33000</v>
      </c>
      <c r="M247" s="58"/>
      <c r="N247" s="848">
        <v>0</v>
      </c>
      <c r="O247" s="58"/>
      <c r="P247" s="58"/>
    </row>
    <row r="248" spans="1:16" ht="19.5" x14ac:dyDescent="0.3">
      <c r="A248" s="167"/>
      <c r="B248" s="168"/>
      <c r="C248" s="296" t="s">
        <v>16</v>
      </c>
      <c r="D248" s="847" t="s">
        <v>36</v>
      </c>
      <c r="E248" s="170"/>
      <c r="F248" s="170"/>
      <c r="G248" s="171"/>
      <c r="H248" s="172"/>
      <c r="I248" s="164"/>
      <c r="J248" s="57"/>
      <c r="K248" s="58"/>
      <c r="L248" s="58"/>
      <c r="M248" s="58"/>
      <c r="N248" s="58"/>
      <c r="O248" s="165"/>
      <c r="P248" s="165"/>
    </row>
    <row r="249" spans="1:16" ht="18.75" x14ac:dyDescent="0.25">
      <c r="A249" s="167"/>
      <c r="B249" s="168"/>
      <c r="C249" s="168"/>
      <c r="D249" s="193" t="s">
        <v>102</v>
      </c>
      <c r="E249" s="174"/>
      <c r="F249" s="174"/>
      <c r="G249" s="172"/>
      <c r="H249" s="295" t="s">
        <v>33</v>
      </c>
      <c r="I249" s="194">
        <f ca="1">IFERROR(__xludf.DUMMYFUNCTION("IMPORTRANGE(""https://docs.google.com/spreadsheets/d/1eHaY18a8A9IcSdp1K8H6x8fbOy06t2VsZHhMHf-1x7Y/edit?usp=sharing"",""แผน!BG51"")"),40)</f>
        <v>40</v>
      </c>
      <c r="J249" s="846">
        <v>0</v>
      </c>
      <c r="K249" s="61">
        <f ca="1">IF(I249&gt;0,J249*100/I249,0)</f>
        <v>0</v>
      </c>
      <c r="L249" s="58"/>
      <c r="M249" s="58"/>
      <c r="N249" s="58"/>
      <c r="O249" s="58"/>
      <c r="P249" s="58"/>
    </row>
    <row r="250" spans="1:16" ht="18.75" x14ac:dyDescent="0.25">
      <c r="A250" s="167"/>
      <c r="B250" s="168"/>
      <c r="C250" s="168"/>
      <c r="D250" s="306" t="s">
        <v>41</v>
      </c>
      <c r="E250" s="174"/>
      <c r="F250" s="174"/>
      <c r="G250" s="172"/>
      <c r="H250" s="172"/>
      <c r="I250" s="57"/>
      <c r="J250" s="57"/>
      <c r="K250" s="58"/>
      <c r="L250" s="58"/>
      <c r="M250" s="58"/>
      <c r="N250" s="58"/>
      <c r="O250" s="165"/>
      <c r="P250" s="165"/>
    </row>
    <row r="251" spans="1:16" ht="18.75" x14ac:dyDescent="0.25">
      <c r="A251" s="167"/>
      <c r="B251" s="168"/>
      <c r="C251" s="168"/>
      <c r="D251" s="168"/>
      <c r="E251" s="447" t="s">
        <v>103</v>
      </c>
      <c r="F251" s="174"/>
      <c r="G251" s="172"/>
      <c r="H251" s="295" t="s">
        <v>33</v>
      </c>
      <c r="I251" s="194">
        <f ca="1">IFERROR(__xludf.DUMMYFUNCTION("IMPORTRANGE(""https://docs.google.com/spreadsheets/d/1eHaY18a8A9IcSdp1K8H6x8fbOy06t2VsZHhMHf-1x7Y/edit?usp=sharing"",""แผน!KJ51"")"),40)</f>
        <v>40</v>
      </c>
      <c r="J251" s="846">
        <v>0</v>
      </c>
      <c r="K251" s="61">
        <f ca="1">IF(I251&gt;0,J251*100/I251,0)</f>
        <v>0</v>
      </c>
      <c r="L251" s="58"/>
      <c r="M251" s="58"/>
      <c r="N251" s="58"/>
      <c r="O251" s="58"/>
      <c r="P251" s="58"/>
    </row>
    <row r="252" spans="1:16" ht="18.75" x14ac:dyDescent="0.25">
      <c r="A252" s="167"/>
      <c r="B252" s="168"/>
      <c r="C252" s="168"/>
      <c r="D252" s="168"/>
      <c r="E252" s="447" t="s">
        <v>104</v>
      </c>
      <c r="F252" s="174"/>
      <c r="G252" s="172"/>
      <c r="H252" s="295" t="s">
        <v>54</v>
      </c>
      <c r="I252" s="194">
        <f ca="1">IFERROR(__xludf.DUMMYFUNCTION("IMPORTRANGE(""https://docs.google.com/spreadsheets/d/1eHaY18a8A9IcSdp1K8H6x8fbOy06t2VsZHhMHf-1x7Y/edit?usp=sharing"",""แผน!KK51"")"),1)</f>
        <v>1</v>
      </c>
      <c r="J252" s="846">
        <v>0</v>
      </c>
      <c r="K252" s="61">
        <f ca="1">IF(I252&gt;0,J252*100/I252,0)</f>
        <v>0</v>
      </c>
      <c r="L252" s="58"/>
      <c r="M252" s="58"/>
      <c r="N252" s="58"/>
      <c r="O252" s="58"/>
      <c r="P252" s="58"/>
    </row>
    <row r="253" spans="1:16" ht="19.5" hidden="1" x14ac:dyDescent="0.3">
      <c r="A253" s="432"/>
      <c r="B253" s="434"/>
      <c r="C253" s="678" t="s">
        <v>106</v>
      </c>
      <c r="D253" s="433"/>
      <c r="E253" s="433"/>
      <c r="F253" s="433"/>
      <c r="G253" s="436"/>
      <c r="H253" s="677" t="s">
        <v>33</v>
      </c>
      <c r="I253" s="676">
        <f ca="1">I260</f>
        <v>0</v>
      </c>
      <c r="J253" s="676">
        <f>J260</f>
        <v>0</v>
      </c>
      <c r="K253" s="675">
        <f ca="1">IF(I253&gt;0,J253*100/I253,0)</f>
        <v>0</v>
      </c>
      <c r="L253" s="571"/>
      <c r="M253" s="571"/>
      <c r="N253" s="571"/>
      <c r="O253" s="571"/>
      <c r="P253" s="571"/>
    </row>
    <row r="254" spans="1:16" ht="19.5" hidden="1" x14ac:dyDescent="0.3">
      <c r="A254" s="535"/>
      <c r="B254" s="418"/>
      <c r="C254" s="531" t="s">
        <v>16</v>
      </c>
      <c r="D254" s="674" t="s">
        <v>17</v>
      </c>
      <c r="E254" s="418"/>
      <c r="F254" s="418"/>
      <c r="G254" s="422"/>
      <c r="H254" s="673" t="s">
        <v>12</v>
      </c>
      <c r="I254" s="526"/>
      <c r="J254" s="526"/>
      <c r="K254" s="525"/>
      <c r="L254" s="539">
        <f ca="1">L255+L256+L257+L258</f>
        <v>0</v>
      </c>
      <c r="M254" s="428"/>
      <c r="N254" s="539">
        <f>N255+N256+N257+N258</f>
        <v>0</v>
      </c>
      <c r="O254" s="539">
        <f ca="1">IF(L254&gt;0,N254*100/L254,0)</f>
        <v>0</v>
      </c>
      <c r="P254" s="539">
        <f>IF(M254&gt;0,N254*100/M254,0)</f>
        <v>0</v>
      </c>
    </row>
    <row r="255" spans="1:16" ht="18.75" hidden="1" x14ac:dyDescent="0.25">
      <c r="A255" s="535"/>
      <c r="B255" s="419"/>
      <c r="C255" s="418"/>
      <c r="D255" s="292" t="s">
        <v>157</v>
      </c>
      <c r="E255" s="418"/>
      <c r="F255" s="418"/>
      <c r="G255" s="422"/>
      <c r="H255" s="536" t="s">
        <v>12</v>
      </c>
      <c r="I255" s="526"/>
      <c r="J255" s="526"/>
      <c r="K255" s="525"/>
      <c r="L255" s="521">
        <f ca="1">IFERROR(__xludf.DUMMYFUNCTION("IMPORTRANGE(""https://docs.google.com/spreadsheets/d/1eHaY18a8A9IcSdp1K8H6x8fbOy06t2VsZHhMHf-1x7Y/edit?usp=sharing"",""แผน!BB51"")"),0)</f>
        <v>0</v>
      </c>
      <c r="M255" s="428"/>
      <c r="N255" s="672">
        <v>0</v>
      </c>
      <c r="O255" s="428"/>
      <c r="P255" s="428"/>
    </row>
    <row r="256" spans="1:16" ht="18.75" hidden="1" x14ac:dyDescent="0.25">
      <c r="A256" s="417"/>
      <c r="B256" s="419"/>
      <c r="C256" s="419"/>
      <c r="D256" s="293" t="s">
        <v>81</v>
      </c>
      <c r="E256" s="418"/>
      <c r="F256" s="418"/>
      <c r="G256" s="422"/>
      <c r="H256" s="536" t="s">
        <v>12</v>
      </c>
      <c r="I256" s="427"/>
      <c r="J256" s="427"/>
      <c r="K256" s="428"/>
      <c r="L256" s="521">
        <f ca="1">IFERROR(__xludf.DUMMYFUNCTION("IMPORTRANGE(""https://docs.google.com/spreadsheets/d/1eHaY18a8A9IcSdp1K8H6x8fbOy06t2VsZHhMHf-1x7Y/edit?usp=sharing"",""แผน!BC51"")"),0)</f>
        <v>0</v>
      </c>
      <c r="M256" s="428"/>
      <c r="N256" s="672">
        <v>0</v>
      </c>
      <c r="O256" s="428"/>
      <c r="P256" s="428"/>
    </row>
    <row r="257" spans="1:16" ht="18.75" hidden="1" x14ac:dyDescent="0.25">
      <c r="A257" s="417"/>
      <c r="B257" s="419"/>
      <c r="C257" s="419"/>
      <c r="D257" s="293" t="s">
        <v>82</v>
      </c>
      <c r="E257" s="418"/>
      <c r="F257" s="418"/>
      <c r="G257" s="422"/>
      <c r="H257" s="536" t="s">
        <v>12</v>
      </c>
      <c r="I257" s="427"/>
      <c r="J257" s="427"/>
      <c r="K257" s="428"/>
      <c r="L257" s="521">
        <f ca="1">IFERROR(__xludf.DUMMYFUNCTION("IMPORTRANGE(""https://docs.google.com/spreadsheets/d/1eHaY18a8A9IcSdp1K8H6x8fbOy06t2VsZHhMHf-1x7Y/edit?usp=sharing"",""แผน!BD51"")"),0)</f>
        <v>0</v>
      </c>
      <c r="M257" s="428"/>
      <c r="N257" s="672">
        <v>0</v>
      </c>
      <c r="O257" s="428"/>
      <c r="P257" s="428"/>
    </row>
    <row r="258" spans="1:16" ht="18.75" hidden="1" x14ac:dyDescent="0.25">
      <c r="A258" s="417"/>
      <c r="B258" s="419"/>
      <c r="C258" s="419"/>
      <c r="D258" s="293" t="s">
        <v>83</v>
      </c>
      <c r="E258" s="418"/>
      <c r="F258" s="418"/>
      <c r="G258" s="422"/>
      <c r="H258" s="536" t="s">
        <v>12</v>
      </c>
      <c r="I258" s="427"/>
      <c r="J258" s="427"/>
      <c r="K258" s="428"/>
      <c r="L258" s="521">
        <f ca="1">IFERROR(__xludf.DUMMYFUNCTION("IMPORTRANGE(""https://docs.google.com/spreadsheets/d/1eHaY18a8A9IcSdp1K8H6x8fbOy06t2VsZHhMHf-1x7Y/edit?usp=sharing"",""แผน!BE51"")"),0)</f>
        <v>0</v>
      </c>
      <c r="M258" s="428"/>
      <c r="N258" s="672">
        <v>0</v>
      </c>
      <c r="O258" s="428"/>
      <c r="P258" s="428"/>
    </row>
    <row r="259" spans="1:16" ht="19.5" hidden="1" x14ac:dyDescent="0.3">
      <c r="A259" s="532"/>
      <c r="B259" s="430"/>
      <c r="C259" s="671" t="s">
        <v>16</v>
      </c>
      <c r="D259" s="530" t="s">
        <v>36</v>
      </c>
      <c r="E259" s="529"/>
      <c r="F259" s="529"/>
      <c r="G259" s="528"/>
      <c r="H259" s="527"/>
      <c r="I259" s="526"/>
      <c r="J259" s="427"/>
      <c r="K259" s="428"/>
      <c r="L259" s="428"/>
      <c r="M259" s="428"/>
      <c r="N259" s="428"/>
      <c r="O259" s="525"/>
      <c r="P259" s="525"/>
    </row>
    <row r="260" spans="1:16" ht="18.75" hidden="1" x14ac:dyDescent="0.25">
      <c r="A260" s="532"/>
      <c r="B260" s="430"/>
      <c r="C260" s="430"/>
      <c r="D260" s="524" t="s">
        <v>102</v>
      </c>
      <c r="E260" s="420"/>
      <c r="F260" s="420"/>
      <c r="G260" s="527"/>
      <c r="H260" s="668" t="s">
        <v>33</v>
      </c>
      <c r="I260" s="199">
        <f ca="1">IFERROR(__xludf.DUMMYFUNCTION("IMPORTRANGE(""https://docs.google.com/spreadsheets/d/1eHaY18a8A9IcSdp1K8H6x8fbOy06t2VsZHhMHf-1x7Y/edit?usp=sharing"",""แผน!BH51"")"),0)</f>
        <v>0</v>
      </c>
      <c r="J260" s="522">
        <v>0</v>
      </c>
      <c r="K260" s="521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2"/>
      <c r="B261" s="430"/>
      <c r="C261" s="430"/>
      <c r="D261" s="670" t="s">
        <v>41</v>
      </c>
      <c r="E261" s="420"/>
      <c r="F261" s="420"/>
      <c r="G261" s="527"/>
      <c r="H261" s="527"/>
      <c r="I261" s="427"/>
      <c r="J261" s="427"/>
      <c r="K261" s="428"/>
      <c r="L261" s="428"/>
      <c r="M261" s="428"/>
      <c r="N261" s="428"/>
      <c r="O261" s="525"/>
      <c r="P261" s="525"/>
    </row>
    <row r="262" spans="1:16" ht="18.75" hidden="1" x14ac:dyDescent="0.25">
      <c r="A262" s="532"/>
      <c r="B262" s="430"/>
      <c r="C262" s="430"/>
      <c r="D262" s="430"/>
      <c r="E262" s="669" t="s">
        <v>103</v>
      </c>
      <c r="F262" s="420"/>
      <c r="G262" s="527"/>
      <c r="H262" s="668" t="s">
        <v>33</v>
      </c>
      <c r="I262" s="427"/>
      <c r="J262" s="522">
        <v>0</v>
      </c>
      <c r="K262" s="521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2"/>
      <c r="B263" s="430"/>
      <c r="C263" s="430"/>
      <c r="D263" s="430"/>
      <c r="E263" s="669" t="s">
        <v>104</v>
      </c>
      <c r="F263" s="420"/>
      <c r="G263" s="527"/>
      <c r="H263" s="668" t="s">
        <v>54</v>
      </c>
      <c r="I263" s="427"/>
      <c r="J263" s="522">
        <v>0</v>
      </c>
      <c r="K263" s="521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IFERROR(__xludf.DUMMYFUNCTION("IMPORTRANGE(""https://docs.google.com/spreadsheets/d/1-uDff_7J0KD5mKrp0Vvzr7lt3OU09vwQwhkpOPPYv2Y/edit?usp=sharing"",""งบพรบ!DE51"")"),0)</f>
        <v>0</v>
      </c>
      <c r="M271" s="521">
        <f ca="1">IFERROR(__xludf.DUMMYFUNCTION("IMPORTRANGE(""https://docs.google.com/spreadsheets/d/1-uDff_7J0KD5mKrp0Vvzr7lt3OU09vwQwhkpOPPYv2Y/edit?usp=sharing"",""งบพรบ!DJ51"")"),0)</f>
        <v>0</v>
      </c>
      <c r="N271" s="521">
        <f ca="1">IFERROR(__xludf.DUMMYFUNCTION("IMPORTRANGE(""https://docs.google.com/spreadsheets/d/1-uDff_7J0KD5mKrp0Vvzr7lt3OU09vwQwhkpOPPYv2Y/edit?usp=sharing"",""งบพรบ!DL51"")"),0)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IFERROR(__xludf.DUMMYFUNCTION("IMPORTRANGE(""https://docs.google.com/spreadsheets/d/1-uDff_7J0KD5mKrp0Vvzr7lt3OU09vwQwhkpOPPYv2Y/edit?usp=sharing"",""งบพรบ!DH51"")"),0)</f>
        <v>0</v>
      </c>
      <c r="M274" s="521">
        <f ca="1">IFERROR(__xludf.DUMMYFUNCTION("IMPORTRANGE(""https://docs.google.com/spreadsheets/d/1-uDff_7J0KD5mKrp0Vvzr7lt3OU09vwQwhkpOPPYv2Y/edit?usp=sharing"",""งบพรบ!DK51"")"),0)</f>
        <v>0</v>
      </c>
      <c r="N274" s="521">
        <f ca="1">IFERROR(__xludf.DUMMYFUNCTION("IMPORTRANGE(""https://docs.google.com/spreadsheets/d/1-uDff_7J0KD5mKrp0Vvzr7lt3OU09vwQwhkpOPPYv2Y/edit?usp=sharing"",""งบพรบ!DM51"")"),0)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hidden="1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hidden="1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hidden="1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0</v>
      </c>
      <c r="J280" s="629">
        <f>J293</f>
        <v>0</v>
      </c>
      <c r="K280" s="628">
        <f ca="1">IF(I280&gt;0,J280*100/I280,0)</f>
        <v>0</v>
      </c>
      <c r="L280" s="627"/>
      <c r="M280" s="627"/>
      <c r="N280" s="627"/>
      <c r="O280" s="627"/>
      <c r="P280" s="627"/>
    </row>
    <row r="281" spans="1:16" ht="19.5" hidden="1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0</v>
      </c>
      <c r="J281" s="629">
        <f>J292</f>
        <v>0</v>
      </c>
      <c r="K281" s="628">
        <f ca="1">IF(I281&gt;0,J281*100/I281,0)</f>
        <v>0</v>
      </c>
      <c r="L281" s="627"/>
      <c r="M281" s="627"/>
      <c r="N281" s="627"/>
      <c r="O281" s="627"/>
      <c r="P281" s="627"/>
    </row>
    <row r="282" spans="1:16" ht="19.5" hidden="1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0</v>
      </c>
      <c r="M282" s="577">
        <f ca="1">M283+M284</f>
        <v>0</v>
      </c>
      <c r="N282" s="577">
        <f ca="1">N283+N284</f>
        <v>0</v>
      </c>
      <c r="O282" s="577">
        <f ca="1">IF(L282&gt;0,N282*100/L282,0)</f>
        <v>0</v>
      </c>
      <c r="P282" s="577">
        <f ca="1">IF(M282&gt;0,N282*100/M282,0)</f>
        <v>0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hidden="1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0</v>
      </c>
      <c r="M284" s="425">
        <f ca="1">M287+M290</f>
        <v>0</v>
      </c>
      <c r="N284" s="425">
        <f ca="1">N287+N290</f>
        <v>0</v>
      </c>
      <c r="O284" s="425">
        <f ca="1">IF(L284&gt;0,N284*100/L284,0)</f>
        <v>0</v>
      </c>
      <c r="P284" s="425">
        <f ca="1">IF(M284&gt;0,N284*100/M284,0)</f>
        <v>0</v>
      </c>
    </row>
    <row r="285" spans="1:16" ht="18.75" hidden="1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0</v>
      </c>
      <c r="M285" s="425">
        <f ca="1">M286+M287</f>
        <v>0</v>
      </c>
      <c r="N285" s="425">
        <f ca="1">N286+N287</f>
        <v>0</v>
      </c>
      <c r="O285" s="425">
        <f ca="1">IF(L285&gt;0,N285*100/L285,0)</f>
        <v>0</v>
      </c>
      <c r="P285" s="425">
        <f ca="1">IF(M285&gt;0,N285*100/M285,0)</f>
        <v>0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hidden="1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IFERROR(__xludf.DUMMYFUNCTION("IMPORTRANGE(""https://docs.google.com/spreadsheets/d/1-uDff_7J0KD5mKrp0Vvzr7lt3OU09vwQwhkpOPPYv2Y/edit?usp=sharing"",""งบพรบ!DO51"")"),0)</f>
        <v>0</v>
      </c>
      <c r="M287" s="425">
        <f ca="1">IFERROR(__xludf.DUMMYFUNCTION("IMPORTRANGE(""https://docs.google.com/spreadsheets/d/1-uDff_7J0KD5mKrp0Vvzr7lt3OU09vwQwhkpOPPYv2Y/edit?usp=sharing"",""งบพรบ!DT51"")"),0)</f>
        <v>0</v>
      </c>
      <c r="N287" s="425">
        <f ca="1">IFERROR(__xludf.DUMMYFUNCTION("IMPORTRANGE(""https://docs.google.com/spreadsheets/d/1-uDff_7J0KD5mKrp0Vvzr7lt3OU09vwQwhkpOPPYv2Y/edit?usp=sharing"",""งบพรบ!DV51"")"),0)</f>
        <v>0</v>
      </c>
      <c r="O287" s="425">
        <f ca="1">IF(L287&gt;0,N287*100/L287,0)</f>
        <v>0</v>
      </c>
      <c r="P287" s="425">
        <f ca="1">IF(M287&gt;0,N287*100/M287,0)</f>
        <v>0</v>
      </c>
    </row>
    <row r="288" spans="1:16" ht="18.75" hidden="1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hidden="1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IFERROR(__xludf.DUMMYFUNCTION("IMPORTRANGE(""https://docs.google.com/spreadsheets/d/1-uDff_7J0KD5mKrp0Vvzr7lt3OU09vwQwhkpOPPYv2Y/edit?usp=sharing"",""งบพรบ!DR51"")"),0)</f>
        <v>0</v>
      </c>
      <c r="M290" s="425">
        <f ca="1">IFERROR(__xludf.DUMMYFUNCTION("IMPORTRANGE(""https://docs.google.com/spreadsheets/d/1-uDff_7J0KD5mKrp0Vvzr7lt3OU09vwQwhkpOPPYv2Y/edit?usp=sharing"",""งบพรบ!DU51"")"),0)</f>
        <v>0</v>
      </c>
      <c r="N290" s="425">
        <f ca="1">IFERROR(__xludf.DUMMYFUNCTION("IMPORTRANGE(""https://docs.google.com/spreadsheets/d/1-uDff_7J0KD5mKrp0Vvzr7lt3OU09vwQwhkpOPPYv2Y/edit?usp=sharing"",""งบพรบ!DW51"")"),0)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hidden="1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hidden="1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IFERROR(__xludf.DUMMYFUNCTION("IMPORTRANGE(""https://docs.google.com/spreadsheets/d/1eHaY18a8A9IcSdp1K8H6x8fbOy06t2VsZHhMHf-1x7Y/edit?usp=sharing"",""แผน!EE51"")"),0)</f>
        <v>0</v>
      </c>
      <c r="J292" s="595">
        <v>0</v>
      </c>
      <c r="K292" s="621">
        <f ca="1">IF(I292&gt;0,J292*100/I292,0)</f>
        <v>0</v>
      </c>
      <c r="L292" s="525"/>
      <c r="M292" s="525"/>
      <c r="N292" s="525"/>
      <c r="O292" s="525"/>
      <c r="P292" s="525"/>
    </row>
    <row r="293" spans="1:16" ht="19.5" hidden="1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IFERROR(__xludf.DUMMYFUNCTION("IMPORTRANGE(""https://docs.google.com/spreadsheets/d/1eHaY18a8A9IcSdp1K8H6x8fbOy06t2VsZHhMHf-1x7Y/edit?usp=sharing"",""แผน!ED51"")"),0)</f>
        <v>0</v>
      </c>
      <c r="J293" s="625">
        <f>J296</f>
        <v>0</v>
      </c>
      <c r="K293" s="624">
        <f ca="1">IF(I293&gt;0,J293*100/I293,0)</f>
        <v>0</v>
      </c>
      <c r="L293" s="525"/>
      <c r="M293" s="525"/>
      <c r="N293" s="525"/>
      <c r="O293" s="525"/>
      <c r="P293" s="525"/>
    </row>
    <row r="294" spans="1:16" ht="19.5" hidden="1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hidden="1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IFERROR(__xludf.DUMMYFUNCTION("IMPORTRANGE(""https://docs.google.com/spreadsheets/d/1eHaY18a8A9IcSdp1K8H6x8fbOy06t2VsZHhMHf-1x7Y/edit?usp=sharing"",""แผน!ED51"")"),0)</f>
        <v>0</v>
      </c>
      <c r="J295" s="595">
        <v>0</v>
      </c>
      <c r="K295" s="621">
        <f ca="1">IF(I295&gt;0,J295*100/I295,0)</f>
        <v>0</v>
      </c>
      <c r="L295" s="525"/>
      <c r="M295" s="525"/>
      <c r="N295" s="525"/>
      <c r="O295" s="525"/>
      <c r="P295" s="525"/>
    </row>
    <row r="296" spans="1:16" ht="19.5" hidden="1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IFERROR(__xludf.DUMMYFUNCTION("IMPORTRANGE(""https://docs.google.com/spreadsheets/d/1eHaY18a8A9IcSdp1K8H6x8fbOy06t2VsZHhMHf-1x7Y/edit?usp=sharing"",""แผน!ED51"")"),0)</f>
        <v>0</v>
      </c>
      <c r="J296" s="595">
        <v>0</v>
      </c>
      <c r="K296" s="621">
        <f ca="1">IF(I296&gt;0,J296*100/I296,0)</f>
        <v>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hidden="1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hidden="1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0</v>
      </c>
      <c r="J302" s="598">
        <f>J314</f>
        <v>0</v>
      </c>
      <c r="K302" s="597">
        <f ca="1">IF(I302&gt;0,J302*100/I302,0)</f>
        <v>0</v>
      </c>
      <c r="L302" s="580"/>
      <c r="M302" s="580"/>
      <c r="N302" s="580"/>
      <c r="O302" s="580"/>
      <c r="P302" s="580"/>
    </row>
    <row r="303" spans="1:16" ht="19.5" hidden="1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0</v>
      </c>
      <c r="M303" s="577">
        <f ca="1">M304+M305</f>
        <v>0</v>
      </c>
      <c r="N303" s="577">
        <f ca="1">N304+N305</f>
        <v>0</v>
      </c>
      <c r="O303" s="577">
        <f ca="1">IF(L303&gt;0,N303*100/L303,0)</f>
        <v>0</v>
      </c>
      <c r="P303" s="577">
        <f ca="1">IF(M303&gt;0,N303*100/M303,0)</f>
        <v>0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hidden="1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0</v>
      </c>
      <c r="M305" s="425">
        <f ca="1">M308+M311</f>
        <v>0</v>
      </c>
      <c r="N305" s="425">
        <f ca="1">N308+N311</f>
        <v>0</v>
      </c>
      <c r="O305" s="425">
        <f ca="1">IF(L305&gt;0,N305*100/L305,0)</f>
        <v>0</v>
      </c>
      <c r="P305" s="425">
        <f ca="1">IF(M305&gt;0,N305*100/M305,0)</f>
        <v>0</v>
      </c>
    </row>
    <row r="306" spans="1:16" ht="18.75" hidden="1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0</v>
      </c>
      <c r="M306" s="425">
        <f ca="1">M307+M308</f>
        <v>0</v>
      </c>
      <c r="N306" s="425">
        <f ca="1">N307+N308</f>
        <v>0</v>
      </c>
      <c r="O306" s="425">
        <f ca="1">IF(L306&gt;0,N306*100/L306,0)</f>
        <v>0</v>
      </c>
      <c r="P306" s="425">
        <f ca="1">IF(M306&gt;0,N306*100/M306,0)</f>
        <v>0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hidden="1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IFERROR(__xludf.DUMMYFUNCTION("IMPORTRANGE(""https://docs.google.com/spreadsheets/d/1-uDff_7J0KD5mKrp0Vvzr7lt3OU09vwQwhkpOPPYv2Y/edit?usp=sharing"",""งบพรบ!DY51"")"),0)</f>
        <v>0</v>
      </c>
      <c r="M308" s="425">
        <f ca="1">IFERROR(__xludf.DUMMYFUNCTION("IMPORTRANGE(""https://docs.google.com/spreadsheets/d/1-uDff_7J0KD5mKrp0Vvzr7lt3OU09vwQwhkpOPPYv2Y/edit?usp=sharing"",""งบพรบ!ED51"")"),0)</f>
        <v>0</v>
      </c>
      <c r="N308" s="425">
        <f ca="1">IFERROR(__xludf.DUMMYFUNCTION("IMPORTRANGE(""https://docs.google.com/spreadsheets/d/1-uDff_7J0KD5mKrp0Vvzr7lt3OU09vwQwhkpOPPYv2Y/edit?usp=sharing"",""งบพรบ!EF51"")"),0)</f>
        <v>0</v>
      </c>
      <c r="O308" s="425">
        <f ca="1">IF(L308&gt;0,N308*100/L308,0)</f>
        <v>0</v>
      </c>
      <c r="P308" s="425">
        <f ca="1">IF(M308&gt;0,N308*100/M308,0)</f>
        <v>0</v>
      </c>
    </row>
    <row r="309" spans="1:16" ht="18.75" hidden="1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hidden="1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IFERROR(__xludf.DUMMYFUNCTION("IMPORTRANGE(""https://docs.google.com/spreadsheets/d/1-uDff_7J0KD5mKrp0Vvzr7lt3OU09vwQwhkpOPPYv2Y/edit?usp=sharing"",""งบพรบ!EB51"")"),0)</f>
        <v>0</v>
      </c>
      <c r="M311" s="425">
        <f ca="1">IFERROR(__xludf.DUMMYFUNCTION("IMPORTRANGE(""https://docs.google.com/spreadsheets/d/1-uDff_7J0KD5mKrp0Vvzr7lt3OU09vwQwhkpOPPYv2Y/edit?usp=sharing"",""งบพรบ!EE51"")"),0)</f>
        <v>0</v>
      </c>
      <c r="N311" s="425">
        <f ca="1">IFERROR(__xludf.DUMMYFUNCTION("IMPORTRANGE(""https://docs.google.com/spreadsheets/d/1-uDff_7J0KD5mKrp0Vvzr7lt3OU09vwQwhkpOPPYv2Y/edit?usp=sharing"",""งบพรบ!EG51"")"),0)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hidden="1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hidden="1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0</v>
      </c>
      <c r="K313" s="428"/>
      <c r="L313" s="428"/>
      <c r="M313" s="428"/>
      <c r="N313" s="428"/>
      <c r="O313" s="428"/>
      <c r="P313" s="428"/>
    </row>
    <row r="314" spans="1:16" ht="18.75" hidden="1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IFERROR(__xludf.DUMMYFUNCTION("IMPORTRANGE(""https://docs.google.com/spreadsheets/d/1eHaY18a8A9IcSdp1K8H6x8fbOy06t2VsZHhMHf-1x7Y/edit?usp=sharing"",""แผน!EF51"")"),0)</f>
        <v>0</v>
      </c>
      <c r="J314" s="595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hidden="1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IFERROR(__xludf.DUMMYFUNCTION("IMPORTRANGE(""https://docs.google.com/spreadsheets/d/1eHaY18a8A9IcSdp1K8H6x8fbOy06t2VsZHhMHf-1x7Y/edit?usp=sharing"",""แผน!EG51"")"),0)</f>
        <v>0</v>
      </c>
      <c r="J315" s="595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hidden="1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IFERROR(__xludf.DUMMYFUNCTION("IMPORTRANGE(""https://docs.google.com/spreadsheets/d/1eHaY18a8A9IcSdp1K8H6x8fbOy06t2VsZHhMHf-1x7Y/edit?usp=sharing"",""แผน!EH51"")"),0)</f>
        <v>0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424">
        <f ca="1">IFERROR(__xludf.DUMMYFUNCTION("IMPORTRANGE(""https://docs.google.com/spreadsheets/d/1eHaY18a8A9IcSdp1K8H6x8fbOy06t2VsZHhMHf-1x7Y/edit?usp=sharing"",""แผน!EI51"")"),0)</f>
        <v>0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hidden="1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0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hidden="1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0</v>
      </c>
      <c r="M320" s="577">
        <f ca="1">M321+M322</f>
        <v>0</v>
      </c>
      <c r="N320" s="577">
        <f ca="1">N321+N322</f>
        <v>0</v>
      </c>
      <c r="O320" s="577">
        <f ca="1">IF(L320&gt;0,N320*100/L320,0)</f>
        <v>0</v>
      </c>
      <c r="P320" s="577">
        <f ca="1">IF(M320&gt;0,N320*100/M320,0)</f>
        <v>0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hidden="1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hidden="1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IFERROR(__xludf.DUMMYFUNCTION("IMPORTRANGE(""https://docs.google.com/spreadsheets/d/1-uDff_7J0KD5mKrp0Vvzr7lt3OU09vwQwhkpOPPYv2Y/edit?usp=sharing"",""งบพรบ!EI51"")"),0)</f>
        <v>0</v>
      </c>
      <c r="M325" s="425">
        <f ca="1">IFERROR(__xludf.DUMMYFUNCTION("IMPORTRANGE(""https://docs.google.com/spreadsheets/d/1-uDff_7J0KD5mKrp0Vvzr7lt3OU09vwQwhkpOPPYv2Y/edit?usp=sharing"",""งบพรบ!EN51"")"),0)</f>
        <v>0</v>
      </c>
      <c r="N325" s="425">
        <f ca="1">IFERROR(__xludf.DUMMYFUNCTION("IMPORTRANGE(""https://docs.google.com/spreadsheets/d/1-uDff_7J0KD5mKrp0Vvzr7lt3OU09vwQwhkpOPPYv2Y/edit?usp=sharing"",""งบพรบ!EP51"")"),0)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hidden="1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IFERROR(__xludf.DUMMYFUNCTION("IMPORTRANGE(""https://docs.google.com/spreadsheets/d/1-uDff_7J0KD5mKrp0Vvzr7lt3OU09vwQwhkpOPPYv2Y/edit?usp=sharing"",""งบพรบ!EL51"")"),0)</f>
        <v>0</v>
      </c>
      <c r="M328" s="425">
        <f ca="1">IFERROR(__xludf.DUMMYFUNCTION("IMPORTRANGE(""https://docs.google.com/spreadsheets/d/1-uDff_7J0KD5mKrp0Vvzr7lt3OU09vwQwhkpOPPYv2Y/edit?usp=sharing"",""งบพรบ!EO51"")"),0)</f>
        <v>0</v>
      </c>
      <c r="N328" s="425">
        <f ca="1">IFERROR(__xludf.DUMMYFUNCTION("IMPORTRANGE(""https://docs.google.com/spreadsheets/d/1-uDff_7J0KD5mKrp0Vvzr7lt3OU09vwQwhkpOPPYv2Y/edit?usp=sharing"",""งบพรบ!EQ51"")"),0)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hidden="1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IFERROR(__xludf.DUMMYFUNCTION("IMPORTRANGE(""https://docs.google.com/spreadsheets/d/1eHaY18a8A9IcSdp1K8H6x8fbOy06t2VsZHhMHf-1x7Y/edit?usp=sharing"",""แผน!EJ51"")"),0)</f>
        <v>0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4340</v>
      </c>
      <c r="J332" s="402">
        <f ca="1">J344+J347+J348+J349+J353</f>
        <v>7184</v>
      </c>
      <c r="K332" s="403">
        <f ca="1">IF(I332&gt;0,J332*100/I332,0)</f>
        <v>165.5299539170507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120000</v>
      </c>
      <c r="M333" s="577">
        <f ca="1">M334+M335</f>
        <v>94550</v>
      </c>
      <c r="N333" s="577">
        <f ca="1">N334+N335</f>
        <v>41340</v>
      </c>
      <c r="O333" s="577">
        <f ca="1">IF(L333&gt;0,N333*100/L333,0)</f>
        <v>34.450000000000003</v>
      </c>
      <c r="P333" s="577">
        <f ca="1">IF(M333&gt;0,N333*100/M333,0)</f>
        <v>43.722897937599157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120000</v>
      </c>
      <c r="M335" s="425">
        <f ca="1">M338+M341</f>
        <v>94550</v>
      </c>
      <c r="N335" s="425">
        <f ca="1">N338+N341</f>
        <v>41340</v>
      </c>
      <c r="O335" s="425">
        <f ca="1">IF(L335&gt;0,N335*100/L335,0)</f>
        <v>34.450000000000003</v>
      </c>
      <c r="P335" s="425">
        <f ca="1">IF(M335&gt;0,N335*100/M335,0)</f>
        <v>43.722897937599157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120000</v>
      </c>
      <c r="M336" s="425">
        <f ca="1">M337+M338</f>
        <v>94550</v>
      </c>
      <c r="N336" s="425">
        <f ca="1">N337+N338</f>
        <v>41340</v>
      </c>
      <c r="O336" s="425">
        <f ca="1">IF(L336&gt;0,N336*100/L336,0)</f>
        <v>34.450000000000003</v>
      </c>
      <c r="P336" s="425">
        <f ca="1">IF(M336&gt;0,N336*100/M336,0)</f>
        <v>43.722897937599157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IFERROR(__xludf.DUMMYFUNCTION("IMPORTRANGE(""https://docs.google.com/spreadsheets/d/1-uDff_7J0KD5mKrp0Vvzr7lt3OU09vwQwhkpOPPYv2Y/edit?usp=sharing"",""งบพรบ!ES51"")"),120000)</f>
        <v>120000</v>
      </c>
      <c r="M338" s="425">
        <f ca="1">IFERROR(__xludf.DUMMYFUNCTION("IMPORTRANGE(""https://docs.google.com/spreadsheets/d/1-uDff_7J0KD5mKrp0Vvzr7lt3OU09vwQwhkpOPPYv2Y/edit?usp=sharing"",""งบพรบ!EX51"")"),94550)</f>
        <v>94550</v>
      </c>
      <c r="N338" s="425">
        <f ca="1">IFERROR(__xludf.DUMMYFUNCTION("IMPORTRANGE(""https://docs.google.com/spreadsheets/d/1-uDff_7J0KD5mKrp0Vvzr7lt3OU09vwQwhkpOPPYv2Y/edit?usp=sharing"",""งบพรบ!EZ51"")"),41340)</f>
        <v>41340</v>
      </c>
      <c r="O338" s="425">
        <f ca="1">IF(L338&gt;0,N338*100/L338,0)</f>
        <v>34.450000000000003</v>
      </c>
      <c r="P338" s="425">
        <f ca="1">IF(M338&gt;0,N338*100/M338,0)</f>
        <v>43.722897937599157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IFERROR(__xludf.DUMMYFUNCTION("IMPORTRANGE(""https://docs.google.com/spreadsheets/d/1-uDff_7J0KD5mKrp0Vvzr7lt3OU09vwQwhkpOPPYv2Y/edit?usp=sharing"",""งบพรบ!EV51"")"),0)</f>
        <v>0</v>
      </c>
      <c r="M341" s="425">
        <f ca="1">IFERROR(__xludf.DUMMYFUNCTION("IMPORTRANGE(""https://docs.google.com/spreadsheets/d/1-uDff_7J0KD5mKrp0Vvzr7lt3OU09vwQwhkpOPPYv2Y/edit?usp=sharing"",""งบพรบ!EY51"")"),0)</f>
        <v>0</v>
      </c>
      <c r="N341" s="425">
        <f ca="1">IFERROR(__xludf.DUMMYFUNCTION("IMPORTRANGE(""https://docs.google.com/spreadsheets/d/1-uDff_7J0KD5mKrp0Vvzr7lt3OU09vwQwhkpOPPYv2Y/edit?usp=sharing"",""งบพรบ!FA51"")"),0)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3545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IFERROR(__xludf.DUMMYFUNCTION("IMPORTRANGE(""https://docs.google.com/spreadsheets/d/1eHaY18a8A9IcSdp1K8H6x8fbOy06t2VsZHhMHf-1x7Y/edit?usp=sharing"",""แผน!EK51"")"),4340)</f>
        <v>4340</v>
      </c>
      <c r="J344" s="424">
        <f ca="1">IFERROR(__xludf.DUMMYFUNCTION("IMPORTRANGE(""https://docs.google.com/spreadsheets/d/1awYsYK3VOup2i3Pq_Yjnu8DRu_mYwSBnCR2QPthd0rU/edit?usp=sharing"",""ศูนย์ยกเว้นโฉนด!D51"")"),3386)</f>
        <v>3386</v>
      </c>
      <c r="K344" s="425">
        <f ca="1">IF(I344&gt;0,J344*100/I344,0)</f>
        <v>78.018433179723502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IFERROR(__xludf.DUMMYFUNCTION("IMPORTRANGE(""https://docs.google.com/spreadsheets/d/1eHaY18a8A9IcSdp1K8H6x8fbOy06t2VsZHhMHf-1x7Y/edit?usp=sharing"",""แผน!EL51"")"),7)</f>
        <v>7</v>
      </c>
      <c r="J346" s="424">
        <f ca="1">IFERROR(__xludf.DUMMYFUNCTION("IMPORTRANGE(""https://docs.google.com/spreadsheets/d/1awYsYK3VOup2i3Pq_Yjnu8DRu_mYwSBnCR2QPthd0rU/edit?usp=sharing"",""ศูนย์รวม!E51"")"),5)</f>
        <v>5</v>
      </c>
      <c r="K346" s="425">
        <f ca="1">IF(I346&gt;0,J346*100/I346,0)</f>
        <v>71.428571428571431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IFERROR(__xludf.DUMMYFUNCTION("IMPORTRANGE(""https://docs.google.com/spreadsheets/d/1awYsYK3VOup2i3Pq_Yjnu8DRu_mYwSBnCR2QPthd0rU/edit?usp=sharing"",""ศูนย์ยกเว้นโฉนด!F51"")"),66)</f>
        <v>66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IFERROR(__xludf.DUMMYFUNCTION("IMPORTRANGE(""https://docs.google.com/spreadsheets/d/1awYsYK3VOup2i3Pq_Yjnu8DRu_mYwSBnCR2QPthd0rU/edit?usp=sharing"",""ศูนย์ยกเว้นโฉนด!G51"")"),80)</f>
        <v>80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IFERROR(__xludf.DUMMYFUNCTION("IMPORTRANGE(""https://docs.google.com/spreadsheets/d/1awYsYK3VOup2i3Pq_Yjnu8DRu_mYwSBnCR2QPthd0rU/edit?usp=sharing"",""ศูนย์ยกเว้นโฉนด!H51"")"),13)</f>
        <v>13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5265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IFERROR(__xludf.DUMMYFUNCTION("IMPORTRANGE(""https://docs.google.com/spreadsheets/d/1awYsYK3VOup2i3Pq_Yjnu8DRu_mYwSBnCR2QPthd0rU/edit?usp=sharing"",""โฉนดM3!G51"")"),1626)</f>
        <v>1626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IFERROR(__xludf.DUMMYFUNCTION("IMPORTRANGE(""https://docs.google.com/spreadsheets/d/1awYsYK3VOup2i3Pq_Yjnu8DRu_mYwSBnCR2QPthd0rU/edit?usp=sharing"",""โฉนดM3!H51"")"),3639)</f>
        <v>3639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1079860</v>
      </c>
      <c r="M356" s="577">
        <f ca="1">M357+M358</f>
        <v>941760</v>
      </c>
      <c r="N356" s="577">
        <f ca="1">N357+N358</f>
        <v>314481.05</v>
      </c>
      <c r="O356" s="577">
        <f ca="1">IF(L356&gt;0,N356*100/L356,0)</f>
        <v>29.122390865482561</v>
      </c>
      <c r="P356" s="577">
        <f ca="1">IF(M356&gt;0,N356*100/M356,0)</f>
        <v>33.392907959565072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1079860</v>
      </c>
      <c r="M358" s="425">
        <f ca="1">M361+M364</f>
        <v>941760</v>
      </c>
      <c r="N358" s="425">
        <f ca="1">N361+N364</f>
        <v>314481.05</v>
      </c>
      <c r="O358" s="425">
        <f ca="1">IF(L358&gt;0,N358*100/L358,0)</f>
        <v>29.122390865482561</v>
      </c>
      <c r="P358" s="425">
        <f ca="1">IF(M358&gt;0,N358*100/M358,0)</f>
        <v>33.392907959565072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1079860</v>
      </c>
      <c r="M359" s="425">
        <f ca="1">M360+M361</f>
        <v>941760</v>
      </c>
      <c r="N359" s="425">
        <f ca="1">N360+N361</f>
        <v>314481.05</v>
      </c>
      <c r="O359" s="425">
        <f ca="1">IF(L359&gt;0,N359*100/L359,0)</f>
        <v>29.122390865482561</v>
      </c>
      <c r="P359" s="425">
        <f ca="1">IF(M359&gt;0,N359*100/M359,0)</f>
        <v>33.392907959565072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IFERROR(__xludf.DUMMYFUNCTION("IMPORTRANGE(""https://docs.google.com/spreadsheets/d/1-uDff_7J0KD5mKrp0Vvzr7lt3OU09vwQwhkpOPPYv2Y/edit?usp=sharing"",""งบพรบ!FC51"")"),1079860)</f>
        <v>1079860</v>
      </c>
      <c r="M361" s="425">
        <f ca="1">IFERROR(__xludf.DUMMYFUNCTION("IMPORTRANGE(""https://docs.google.com/spreadsheets/d/1-uDff_7J0KD5mKrp0Vvzr7lt3OU09vwQwhkpOPPYv2Y/edit?usp=sharing"",""งบพรบ!FH51"")"),941760)</f>
        <v>941760</v>
      </c>
      <c r="N361" s="425">
        <f ca="1">IFERROR(__xludf.DUMMYFUNCTION("IMPORTRANGE(""https://docs.google.com/spreadsheets/d/1-uDff_7J0KD5mKrp0Vvzr7lt3OU09vwQwhkpOPPYv2Y/edit?usp=sharing"",""งบพรบ!FJ51"")"),314481.05)</f>
        <v>314481.05</v>
      </c>
      <c r="O361" s="425">
        <f ca="1">IF(L361&gt;0,N361*100/L361,0)</f>
        <v>29.122390865482561</v>
      </c>
      <c r="P361" s="425">
        <f ca="1">IF(M361&gt;0,N361*100/M361,0)</f>
        <v>33.392907959565072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IFERROR(__xludf.DUMMYFUNCTION("IMPORTRANGE(""https://docs.google.com/spreadsheets/d/1-uDff_7J0KD5mKrp0Vvzr7lt3OU09vwQwhkpOPPYv2Y/edit?usp=sharing"",""งบพรบ!FF51"")"),0)</f>
        <v>0</v>
      </c>
      <c r="M364" s="425">
        <f ca="1">IFERROR(__xludf.DUMMYFUNCTION("IMPORTRANGE(""https://docs.google.com/spreadsheets/d/1-uDff_7J0KD5mKrp0Vvzr7lt3OU09vwQwhkpOPPYv2Y/edit?usp=sharing"",""งบพรบ!FI51"")"),0)</f>
        <v>0</v>
      </c>
      <c r="N364" s="425">
        <f ca="1">IFERROR(__xludf.DUMMYFUNCTION("IMPORTRANGE(""https://docs.google.com/spreadsheets/d/1-uDff_7J0KD5mKrp0Vvzr7lt3OU09vwQwhkpOPPYv2Y/edit?usp=sharing"",""งบพรบ!FK51"")"),0)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479</v>
      </c>
      <c r="J365" s="438">
        <f ca="1">J371</f>
        <v>98</v>
      </c>
      <c r="K365" s="439">
        <f ca="1">IF(I365&gt;0,J365*100/I365,0)</f>
        <v>20.45929018789144</v>
      </c>
      <c r="L365" s="571"/>
      <c r="M365" s="571"/>
      <c r="N365" s="571"/>
      <c r="O365" s="571"/>
      <c r="P365" s="571"/>
    </row>
    <row r="366" spans="1:16" ht="19.5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IFERROR(__xludf.DUMMYFUNCTION("IMPORTRANGE(""https://docs.google.com/spreadsheets/d/1tdoBKaGub7dwA3U6UFTqxio9LNnvDCQjHKmttSEBsFQ/edit?usp=sharing"",""จัดที่ดิน!AB51"")"),151)</f>
        <v>151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IFERROR(__xludf.DUMMYFUNCTION("IMPORTRANGE(""https://docs.google.com/spreadsheets/d/1eHaY18a8A9IcSdp1K8H6x8fbOy06t2VsZHhMHf-1x7Y/edit?usp=sharing"",""แผน!EW51"")"),4565)</f>
        <v>4565</v>
      </c>
      <c r="J368" s="565">
        <f ca="1">IFERROR(__xludf.DUMMYFUNCTION("IMPORTRANGE(""https://docs.google.com/spreadsheets/d/1tdoBKaGub7dwA3U6UFTqxio9LNnvDCQjHKmttSEBsFQ/edit?usp=sharing"",""จัดที่ดิน!AC51"")"),1013.63)</f>
        <v>1013.63</v>
      </c>
      <c r="K368" s="425">
        <f ca="1">IF(I368&gt;0,J368*100/I368,0)</f>
        <v>22.204381161007667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IFERROR(__xludf.DUMMYFUNCTION("IMPORTRANGE(""https://docs.google.com/spreadsheets/d/1eHaY18a8A9IcSdp1K8H6x8fbOy06t2VsZHhMHf-1x7Y/edit?usp=sharing"",""แผน!EX51"")"),733)</f>
        <v>733</v>
      </c>
      <c r="J369" s="424">
        <f ca="1">IFERROR(__xludf.DUMMYFUNCTION("IMPORTRANGE(""https://docs.google.com/spreadsheets/d/1tdoBKaGub7dwA3U6UFTqxio9LNnvDCQjHKmttSEBsFQ/edit?usp=sharing"",""จัดที่ดิน!AD51"")"),98)</f>
        <v>98</v>
      </c>
      <c r="K369" s="425">
        <f ca="1">IF(I369&gt;0,J369*100/I369,0)</f>
        <v>13.369713506139155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IFERROR(__xludf.DUMMYFUNCTION("IMPORTRANGE(""https://docs.google.com/spreadsheets/d/1tdoBKaGub7dwA3U6UFTqxio9LNnvDCQjHKmttSEBsFQ/edit?usp=sharing"",""จัดที่ดิน!AE51"")"),894.68)</f>
        <v>894.68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IFERROR(__xludf.DUMMYFUNCTION("IMPORTRANGE(""https://docs.google.com/spreadsheets/d/1eHaY18a8A9IcSdp1K8H6x8fbOy06t2VsZHhMHf-1x7Y/edit?usp=sharing"",""แผน!EY51"")"),479)</f>
        <v>479</v>
      </c>
      <c r="J371" s="424">
        <f ca="1">IFERROR(__xludf.DUMMYFUNCTION("IMPORTRANGE(""https://docs.google.com/spreadsheets/d/1tdoBKaGub7dwA3U6UFTqxio9LNnvDCQjHKmttSEBsFQ/edit?usp=sharing"",""จัดที่ดิน!AF51"")"),98)</f>
        <v>98</v>
      </c>
      <c r="K371" s="425">
        <f ca="1">IF(I371&gt;0,J371*100/I371,0)</f>
        <v>20.45929018789144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IFERROR(__xludf.DUMMYFUNCTION("IMPORTRANGE(""https://docs.google.com/spreadsheets/d/1tdoBKaGub7dwA3U6UFTqxio9LNnvDCQjHKmttSEBsFQ/edit?usp=sharing"",""จัดที่ดิน!AG51"")"),894.68)</f>
        <v>894.68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IFERROR(__xludf.DUMMYFUNCTION("IMPORTRANGE(""https://docs.google.com/spreadsheets/d/1-uDff_7J0KD5mKrp0Vvzr7lt3OU09vwQwhkpOPPYv2Y/edit?usp=sharing"",""งบพรบ!FM51"")"),0)</f>
        <v>0</v>
      </c>
      <c r="M382" s="521">
        <f ca="1">IFERROR(__xludf.DUMMYFUNCTION("IMPORTRANGE(""https://docs.google.com/spreadsheets/d/1-uDff_7J0KD5mKrp0Vvzr7lt3OU09vwQwhkpOPPYv2Y/edit?usp=sharing"",""งบพรบ!FR51"")"),0)</f>
        <v>0</v>
      </c>
      <c r="N382" s="521">
        <f ca="1">IFERROR(__xludf.DUMMYFUNCTION("IMPORTRANGE(""https://docs.google.com/spreadsheets/d/1-uDff_7J0KD5mKrp0Vvzr7lt3OU09vwQwhkpOPPYv2Y/edit?usp=sharing"",""งบพรบ!FT51"")"),0)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IFERROR(__xludf.DUMMYFUNCTION("IMPORTRANGE(""https://docs.google.com/spreadsheets/d/1-uDff_7J0KD5mKrp0Vvzr7lt3OU09vwQwhkpOPPYv2Y/edit?usp=sharing"",""งบพรบ!FP51"")"),0)</f>
        <v>0</v>
      </c>
      <c r="M385" s="521">
        <f ca="1">IFERROR(__xludf.DUMMYFUNCTION("IMPORTRANGE(""https://docs.google.com/spreadsheets/d/1-uDff_7J0KD5mKrp0Vvzr7lt3OU09vwQwhkpOPPYv2Y/edit?usp=sharing"",""งบพรบ!FS51"")"),0)</f>
        <v>0</v>
      </c>
      <c r="N385" s="521">
        <f ca="1">IFERROR(__xludf.DUMMYFUNCTION("IMPORTRANGE(""https://docs.google.com/spreadsheets/d/1-uDff_7J0KD5mKrp0Vvzr7lt3OU09vwQwhkpOPPYv2Y/edit?usp=sharing"",""งบพรบ!FU51"")"),0)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รวมตะวันออกเฉียงเหนือ</vt:lpstr>
      <vt:lpstr>กาฬสินธุ์</vt:lpstr>
      <vt:lpstr>ขอนแก่น</vt:lpstr>
      <vt:lpstr>ชัยภูมิ</vt:lpstr>
      <vt:lpstr>นครพนม</vt:lpstr>
      <vt:lpstr>นครราชสีมา</vt:lpstr>
      <vt:lpstr>บึงกาฬ</vt:lpstr>
      <vt:lpstr>บุรีรัมย์</vt:lpstr>
      <vt:lpstr>มหาสารคาม</vt:lpstr>
      <vt:lpstr>มุกดาหาร</vt:lpstr>
      <vt:lpstr>ยโสธร</vt:lpstr>
      <vt:lpstr>ร้อยเอ็ด</vt:lpstr>
      <vt:lpstr>เลย</vt:lpstr>
      <vt:lpstr>ศรีสะเกษ</vt:lpstr>
      <vt:lpstr>สกลนคร</vt:lpstr>
      <vt:lpstr>สุรินทร์</vt:lpstr>
      <vt:lpstr>หนองคาย</vt:lpstr>
      <vt:lpstr>หนองบัวลำภู</vt:lpstr>
      <vt:lpstr>อำนาจเจริญ</vt:lpstr>
      <vt:lpstr>อุดรธานี</vt:lpstr>
      <vt:lpstr>อุบลราชธานี</vt:lpstr>
      <vt:lpstr>กาฬสินธุ์!Print_Titles</vt:lpstr>
      <vt:lpstr>ขอนแก่น!Print_Titles</vt:lpstr>
      <vt:lpstr>ชัยภูมิ!Print_Titles</vt:lpstr>
      <vt:lpstr>นครพนม!Print_Titles</vt:lpstr>
      <vt:lpstr>นครราชสีมา!Print_Titles</vt:lpstr>
      <vt:lpstr>บึงกาฬ!Print_Titles</vt:lpstr>
      <vt:lpstr>บุรีรัมย์!Print_Titles</vt:lpstr>
      <vt:lpstr>มหาสารคาม!Print_Titles</vt:lpstr>
      <vt:lpstr>มุกดาหาร!Print_Titles</vt:lpstr>
      <vt:lpstr>ยโสธร!Print_Titles</vt:lpstr>
      <vt:lpstr>รวมตะวันออกเฉียงเหนือ!Print_Titles</vt:lpstr>
      <vt:lpstr>ร้อยเอ็ด!Print_Titles</vt:lpstr>
      <vt:lpstr>เลย!Print_Titles</vt:lpstr>
      <vt:lpstr>ศรีสะเกษ!Print_Titles</vt:lpstr>
      <vt:lpstr>สกลนคร!Print_Titles</vt:lpstr>
      <vt:lpstr>สุรินทร์!Print_Titles</vt:lpstr>
      <vt:lpstr>หนองคาย!Print_Titles</vt:lpstr>
      <vt:lpstr>หนองบัวลำภู!Print_Titles</vt:lpstr>
      <vt:lpstr>อำนาจเจริญ!Print_Titles</vt:lpstr>
      <vt:lpstr>อุดรธานี!Print_Titles</vt:lpstr>
      <vt:lpstr>อุบลราชธานี!Print_Titles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2024-01-05T03:53:54Z</dcterms:modified>
</cp:coreProperties>
</file>